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yong_jin_wur_nl/Documents/Experimental plan/1_PHA experiments/3-CSTR/Paper wrting for the CSTR/"/>
    </mc:Choice>
  </mc:AlternateContent>
  <xr:revisionPtr revIDLastSave="4473" documentId="11_F25DC773A252ABDACC104828915D5AE05BDE58EA" xr6:coauthVersionLast="47" xr6:coauthVersionMax="47" xr10:uidLastSave="{38743296-02A2-4EB0-981E-034C06186B89}"/>
  <bookViews>
    <workbookView xWindow="-120" yWindow="-120" windowWidth="29040" windowHeight="15720" activeTab="2" xr2:uid="{00000000-000D-0000-FFFF-FFFF00000000}"/>
  </bookViews>
  <sheets>
    <sheet name="Constants" sheetId="2" r:id="rId1"/>
    <sheet name="Experimental plan" sheetId="3" r:id="rId2"/>
    <sheet name="Rawdata" sheetId="4" r:id="rId3"/>
    <sheet name="Influent Concentration" sheetId="5" r:id="rId4"/>
    <sheet name="Effluent Concentration" sheetId="1" r:id="rId5"/>
    <sheet name="Average concentrations" sheetId="15" r:id="rId6"/>
    <sheet name="HRT" sheetId="7" r:id="rId7"/>
    <sheet name="KOH needs for medium" sheetId="13" r:id="rId8"/>
    <sheet name="Gas" sheetId="9" r:id="rId9"/>
    <sheet name="Productivities" sheetId="10" r:id="rId10"/>
    <sheet name="Balances" sheetId="6" r:id="rId11"/>
    <sheet name="Net consum-produc" sheetId="12" r:id="rId12"/>
    <sheet name="SCOD" sheetId="14" r:id="rId13"/>
  </sheets>
  <externalReferences>
    <externalReference r:id="rId1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23" i="12" l="1"/>
  <c r="M26" i="13"/>
  <c r="M25" i="13"/>
  <c r="M24" i="13"/>
  <c r="M23" i="13"/>
  <c r="M22" i="13"/>
  <c r="M21" i="13"/>
  <c r="M20" i="13"/>
  <c r="L26" i="13"/>
  <c r="L25" i="13"/>
  <c r="L24" i="13"/>
  <c r="L23" i="13"/>
  <c r="L22" i="13"/>
  <c r="L21" i="13"/>
  <c r="L20" i="13"/>
  <c r="L16" i="13"/>
  <c r="L5" i="13"/>
  <c r="L6" i="13"/>
  <c r="L7" i="13"/>
  <c r="L8" i="13"/>
  <c r="L9" i="13"/>
  <c r="L10" i="13"/>
  <c r="L11" i="13"/>
  <c r="L12" i="13"/>
  <c r="L13" i="13"/>
  <c r="L14" i="13"/>
  <c r="L15" i="13"/>
  <c r="L4" i="13"/>
  <c r="L3" i="13"/>
  <c r="J3" i="13"/>
  <c r="K3" i="13" s="1"/>
  <c r="K7" i="13"/>
  <c r="K8" i="13"/>
  <c r="K9" i="13"/>
  <c r="K10" i="13"/>
  <c r="K15" i="13"/>
  <c r="K16" i="13"/>
  <c r="K4" i="13"/>
  <c r="J5" i="13"/>
  <c r="K5" i="13" s="1"/>
  <c r="J7" i="13"/>
  <c r="J8" i="13"/>
  <c r="J9" i="13"/>
  <c r="J10" i="13"/>
  <c r="J11" i="13"/>
  <c r="K11" i="13" s="1"/>
  <c r="J12" i="13"/>
  <c r="K12" i="13" s="1"/>
  <c r="J13" i="13"/>
  <c r="K13" i="13" s="1"/>
  <c r="J14" i="13"/>
  <c r="K14" i="13" s="1"/>
  <c r="J15" i="13"/>
  <c r="J16" i="13"/>
  <c r="J4" i="13"/>
  <c r="H4" i="13"/>
  <c r="H13" i="13"/>
  <c r="H16" i="13"/>
  <c r="C17" i="13"/>
  <c r="D17" i="13" s="1"/>
  <c r="H15" i="13"/>
  <c r="C16" i="13"/>
  <c r="H14" i="13"/>
  <c r="C15" i="13"/>
  <c r="C14" i="13"/>
  <c r="H12" i="13"/>
  <c r="C13" i="13"/>
  <c r="D14" i="13" s="1"/>
  <c r="H11" i="13"/>
  <c r="C12" i="13"/>
  <c r="D12" i="13" s="1"/>
  <c r="H10" i="13"/>
  <c r="C11" i="13"/>
  <c r="H9" i="13"/>
  <c r="C10" i="13"/>
  <c r="H8" i="13"/>
  <c r="C9" i="13"/>
  <c r="D9" i="13" s="1"/>
  <c r="D3" i="13"/>
  <c r="H7" i="13"/>
  <c r="C8" i="13"/>
  <c r="H6" i="13"/>
  <c r="H5" i="13"/>
  <c r="I6" i="13"/>
  <c r="J6" i="13" s="1"/>
  <c r="K6" i="13" s="1"/>
  <c r="C7" i="13"/>
  <c r="M6" i="13"/>
  <c r="C6" i="13"/>
  <c r="C5" i="13"/>
  <c r="C4" i="13"/>
  <c r="D4" i="13" s="1"/>
  <c r="C3" i="13"/>
  <c r="W4" i="13"/>
  <c r="W3" i="13"/>
  <c r="AA23" i="15"/>
  <c r="Z23" i="15"/>
  <c r="AA22" i="15"/>
  <c r="Z22" i="15"/>
  <c r="AA21" i="15"/>
  <c r="Z21" i="15"/>
  <c r="AA20" i="15"/>
  <c r="Z20" i="15"/>
  <c r="AA19" i="15"/>
  <c r="Z19" i="15"/>
  <c r="AA18" i="15"/>
  <c r="Z18" i="15"/>
  <c r="AA17" i="15"/>
  <c r="Z17" i="15"/>
  <c r="AA16" i="15"/>
  <c r="Z16" i="15"/>
  <c r="AA15" i="15"/>
  <c r="Z15" i="15"/>
  <c r="AA14" i="15"/>
  <c r="Z14" i="15"/>
  <c r="AA13" i="15"/>
  <c r="Z13" i="15"/>
  <c r="Y23" i="15"/>
  <c r="X23" i="15"/>
  <c r="Y22" i="15"/>
  <c r="X22" i="15"/>
  <c r="Y21" i="15"/>
  <c r="X21" i="15"/>
  <c r="Y20" i="15"/>
  <c r="X20" i="15"/>
  <c r="Y19" i="15"/>
  <c r="X19" i="15"/>
  <c r="Y18" i="15"/>
  <c r="X18" i="15"/>
  <c r="Y17" i="15"/>
  <c r="X17" i="15"/>
  <c r="Y16" i="15"/>
  <c r="X16" i="15"/>
  <c r="Y15" i="15"/>
  <c r="X15" i="15"/>
  <c r="Y14" i="15"/>
  <c r="X14" i="15"/>
  <c r="Y13" i="15"/>
  <c r="X13" i="15"/>
  <c r="W23" i="15"/>
  <c r="V23" i="15"/>
  <c r="W22" i="15"/>
  <c r="V22" i="15"/>
  <c r="W21" i="15"/>
  <c r="V21" i="15"/>
  <c r="W20" i="15"/>
  <c r="V20" i="15"/>
  <c r="W19" i="15"/>
  <c r="V19" i="15"/>
  <c r="W18" i="15"/>
  <c r="V18" i="15"/>
  <c r="W17" i="15"/>
  <c r="V17" i="15"/>
  <c r="W16" i="15"/>
  <c r="V16" i="15"/>
  <c r="W15" i="15"/>
  <c r="V15" i="15"/>
  <c r="W14" i="15"/>
  <c r="V14" i="15"/>
  <c r="W13" i="15"/>
  <c r="V13" i="15"/>
  <c r="U23" i="15"/>
  <c r="T23" i="15"/>
  <c r="U22" i="15"/>
  <c r="T22" i="15"/>
  <c r="U21" i="15"/>
  <c r="T21" i="15"/>
  <c r="U20" i="15"/>
  <c r="T20" i="15"/>
  <c r="U19" i="15"/>
  <c r="T19" i="15"/>
  <c r="U18" i="15"/>
  <c r="T18" i="15"/>
  <c r="U17" i="15"/>
  <c r="T17" i="15"/>
  <c r="U16" i="15"/>
  <c r="T16" i="15"/>
  <c r="U15" i="15"/>
  <c r="T15" i="15"/>
  <c r="U14" i="15"/>
  <c r="T14" i="15"/>
  <c r="U13" i="15"/>
  <c r="T13" i="15"/>
  <c r="S23" i="15"/>
  <c r="R23" i="15"/>
  <c r="S22" i="15"/>
  <c r="R22" i="15"/>
  <c r="S21" i="15"/>
  <c r="R21" i="15"/>
  <c r="S20" i="15"/>
  <c r="R20" i="15"/>
  <c r="S19" i="15"/>
  <c r="R19" i="15"/>
  <c r="S18" i="15"/>
  <c r="R18" i="15"/>
  <c r="S17" i="15"/>
  <c r="R17" i="15"/>
  <c r="S16" i="15"/>
  <c r="R16" i="15"/>
  <c r="S15" i="15"/>
  <c r="R15" i="15"/>
  <c r="S14" i="15"/>
  <c r="R14" i="15"/>
  <c r="S13" i="15"/>
  <c r="R13" i="15"/>
  <c r="Q23" i="15"/>
  <c r="P23" i="15"/>
  <c r="Q22" i="15"/>
  <c r="P22" i="15"/>
  <c r="Q21" i="15"/>
  <c r="P21" i="15"/>
  <c r="Q20" i="15"/>
  <c r="P20" i="15"/>
  <c r="Q19" i="15"/>
  <c r="P19" i="15"/>
  <c r="Q18" i="15"/>
  <c r="P18" i="15"/>
  <c r="Q17" i="15"/>
  <c r="P17" i="15"/>
  <c r="Q16" i="15"/>
  <c r="P16" i="15"/>
  <c r="Q15" i="15"/>
  <c r="P15" i="15"/>
  <c r="Q14" i="15"/>
  <c r="P14" i="15"/>
  <c r="Q13" i="15"/>
  <c r="P13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4" i="15"/>
  <c r="K5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4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5" i="15"/>
  <c r="B4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5" i="15"/>
  <c r="A4" i="15"/>
  <c r="AM16" i="9"/>
  <c r="AM15" i="9"/>
  <c r="AM14" i="9"/>
  <c r="AM13" i="9"/>
  <c r="AL16" i="9"/>
  <c r="AL15" i="9"/>
  <c r="AL14" i="9"/>
  <c r="AL13" i="9"/>
  <c r="AK16" i="9"/>
  <c r="AK15" i="9"/>
  <c r="AK14" i="9"/>
  <c r="AK13" i="9"/>
  <c r="AJ16" i="9"/>
  <c r="AJ15" i="9"/>
  <c r="AJ14" i="9"/>
  <c r="AJ13" i="9"/>
  <c r="AI16" i="9"/>
  <c r="AI15" i="9"/>
  <c r="AI14" i="9"/>
  <c r="AI13" i="9"/>
  <c r="AH16" i="9"/>
  <c r="AH15" i="9"/>
  <c r="AH14" i="9"/>
  <c r="AH13" i="9"/>
  <c r="AG16" i="9"/>
  <c r="AG15" i="9"/>
  <c r="AG14" i="9"/>
  <c r="AG13" i="9"/>
  <c r="AF16" i="9"/>
  <c r="AF15" i="9"/>
  <c r="AF14" i="9"/>
  <c r="AF13" i="9"/>
  <c r="AE16" i="9"/>
  <c r="AD16" i="9"/>
  <c r="AE15" i="9"/>
  <c r="AD15" i="9"/>
  <c r="AE14" i="9"/>
  <c r="AD14" i="9"/>
  <c r="AE13" i="9"/>
  <c r="AD13" i="9"/>
  <c r="AJ11" i="12"/>
  <c r="AJ29" i="12" s="1"/>
  <c r="AC16" i="9"/>
  <c r="AB16" i="9"/>
  <c r="AC15" i="9"/>
  <c r="AB15" i="9"/>
  <c r="AC14" i="9"/>
  <c r="AB14" i="9"/>
  <c r="AC13" i="9"/>
  <c r="AB13" i="9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I29" i="12"/>
  <c r="AK29" i="12"/>
  <c r="AL29" i="12"/>
  <c r="AM29" i="12"/>
  <c r="AN29" i="12"/>
  <c r="AO29" i="12"/>
  <c r="AP29" i="12"/>
  <c r="AQ29" i="12"/>
  <c r="AR29" i="12"/>
  <c r="AS29" i="12"/>
  <c r="AH29" i="12"/>
  <c r="AS23" i="12"/>
  <c r="AR23" i="12"/>
  <c r="AS21" i="12"/>
  <c r="AR21" i="12"/>
  <c r="AS20" i="12"/>
  <c r="AR20" i="12"/>
  <c r="AS19" i="12"/>
  <c r="AR19" i="12"/>
  <c r="AS18" i="12"/>
  <c r="AR18" i="12"/>
  <c r="AS17" i="12"/>
  <c r="AR17" i="12"/>
  <c r="AS16" i="12"/>
  <c r="AR16" i="12"/>
  <c r="AS15" i="12"/>
  <c r="AR15" i="12"/>
  <c r="AS14" i="12"/>
  <c r="AR14" i="12"/>
  <c r="AS13" i="12"/>
  <c r="AR13" i="12"/>
  <c r="AS12" i="12"/>
  <c r="AR12" i="12"/>
  <c r="AS11" i="12"/>
  <c r="AR11" i="12"/>
  <c r="AQ23" i="12"/>
  <c r="AQ21" i="12"/>
  <c r="AP21" i="12"/>
  <c r="AQ20" i="12"/>
  <c r="AP20" i="12"/>
  <c r="AQ19" i="12"/>
  <c r="AP19" i="12"/>
  <c r="AQ18" i="12"/>
  <c r="AP18" i="12"/>
  <c r="AQ17" i="12"/>
  <c r="AP17" i="12"/>
  <c r="AQ16" i="12"/>
  <c r="AP16" i="12"/>
  <c r="AQ15" i="12"/>
  <c r="AP15" i="12"/>
  <c r="AQ14" i="12"/>
  <c r="AP14" i="12"/>
  <c r="AQ13" i="12"/>
  <c r="AP13" i="12"/>
  <c r="AQ12" i="12"/>
  <c r="AP12" i="12"/>
  <c r="AQ11" i="12"/>
  <c r="AP11" i="12"/>
  <c r="AO23" i="12"/>
  <c r="AN23" i="12"/>
  <c r="AO21" i="12"/>
  <c r="AN21" i="12"/>
  <c r="AO20" i="12"/>
  <c r="AN20" i="12"/>
  <c r="AO19" i="12"/>
  <c r="AN19" i="12"/>
  <c r="AO18" i="12"/>
  <c r="AN18" i="12"/>
  <c r="AO17" i="12"/>
  <c r="AN17" i="12"/>
  <c r="AO16" i="12"/>
  <c r="AN16" i="12"/>
  <c r="AO15" i="12"/>
  <c r="AN15" i="12"/>
  <c r="AO14" i="12"/>
  <c r="AN14" i="12"/>
  <c r="AO13" i="12"/>
  <c r="AN13" i="12"/>
  <c r="AO12" i="12"/>
  <c r="AN12" i="12"/>
  <c r="AO11" i="12"/>
  <c r="AN11" i="12"/>
  <c r="AM23" i="12"/>
  <c r="AL23" i="12"/>
  <c r="AM21" i="12"/>
  <c r="AL21" i="12"/>
  <c r="AM20" i="12"/>
  <c r="AL20" i="12"/>
  <c r="AM19" i="12"/>
  <c r="AL19" i="12"/>
  <c r="AM18" i="12"/>
  <c r="AL18" i="12"/>
  <c r="AM17" i="12"/>
  <c r="AL17" i="12"/>
  <c r="AM16" i="12"/>
  <c r="AL16" i="12"/>
  <c r="AM15" i="12"/>
  <c r="AL15" i="12"/>
  <c r="AM14" i="12"/>
  <c r="AL14" i="12"/>
  <c r="AM13" i="12"/>
  <c r="AL13" i="12"/>
  <c r="AM12" i="12"/>
  <c r="AL12" i="12"/>
  <c r="AM11" i="12"/>
  <c r="AL11" i="12"/>
  <c r="AK23" i="12"/>
  <c r="AJ23" i="12"/>
  <c r="AK21" i="12"/>
  <c r="AJ21" i="12"/>
  <c r="AK20" i="12"/>
  <c r="AJ20" i="12"/>
  <c r="AK19" i="12"/>
  <c r="AJ19" i="12"/>
  <c r="AK18" i="12"/>
  <c r="AJ18" i="12"/>
  <c r="AK17" i="12"/>
  <c r="AJ17" i="12"/>
  <c r="AK16" i="12"/>
  <c r="AJ16" i="12"/>
  <c r="AK15" i="12"/>
  <c r="AJ15" i="12"/>
  <c r="AK14" i="12"/>
  <c r="AJ14" i="12"/>
  <c r="AK13" i="12"/>
  <c r="AJ13" i="12"/>
  <c r="AK12" i="12"/>
  <c r="AJ12" i="12"/>
  <c r="AK11" i="12"/>
  <c r="AI19" i="12"/>
  <c r="AI18" i="12"/>
  <c r="AI17" i="12"/>
  <c r="AI16" i="12"/>
  <c r="AI15" i="12"/>
  <c r="AI14" i="12"/>
  <c r="AI13" i="12"/>
  <c r="AI12" i="12"/>
  <c r="AH19" i="12"/>
  <c r="AH18" i="12"/>
  <c r="AH17" i="12"/>
  <c r="AH16" i="12"/>
  <c r="AH15" i="12"/>
  <c r="AH14" i="12"/>
  <c r="AH13" i="12"/>
  <c r="AH12" i="12"/>
  <c r="AI11" i="12"/>
  <c r="AH11" i="12"/>
  <c r="AI23" i="12"/>
  <c r="AH23" i="12"/>
  <c r="AI21" i="12"/>
  <c r="AH21" i="12"/>
  <c r="AI20" i="12"/>
  <c r="AH20" i="12"/>
  <c r="AD5" i="12"/>
  <c r="AD6" i="12"/>
  <c r="AD7" i="12"/>
  <c r="AD8" i="12"/>
  <c r="AD9" i="12"/>
  <c r="AE5" i="12"/>
  <c r="AE6" i="12"/>
  <c r="AE7" i="12"/>
  <c r="AE8" i="12"/>
  <c r="AE9" i="12"/>
  <c r="AC5" i="12"/>
  <c r="AC6" i="12"/>
  <c r="AC7" i="12"/>
  <c r="AC8" i="12"/>
  <c r="AC9" i="12"/>
  <c r="AB5" i="12"/>
  <c r="AB6" i="12"/>
  <c r="AB7" i="12"/>
  <c r="AB8" i="12"/>
  <c r="AB9" i="12"/>
  <c r="AA5" i="12"/>
  <c r="AA6" i="12"/>
  <c r="AA7" i="12"/>
  <c r="AA8" i="12"/>
  <c r="AA9" i="12"/>
  <c r="Z5" i="12"/>
  <c r="Z6" i="12"/>
  <c r="Z7" i="12"/>
  <c r="Z8" i="12"/>
  <c r="Z9" i="12"/>
  <c r="Y5" i="12"/>
  <c r="Y6" i="12"/>
  <c r="Y7" i="12"/>
  <c r="Y8" i="12"/>
  <c r="Y9" i="12"/>
  <c r="X5" i="12"/>
  <c r="X6" i="12"/>
  <c r="X7" i="12"/>
  <c r="X8" i="12"/>
  <c r="X9" i="12"/>
  <c r="W5" i="12"/>
  <c r="W6" i="12"/>
  <c r="W7" i="12"/>
  <c r="W8" i="12"/>
  <c r="W9" i="12"/>
  <c r="V5" i="12"/>
  <c r="V6" i="12"/>
  <c r="V7" i="12"/>
  <c r="V8" i="12"/>
  <c r="V9" i="12"/>
  <c r="U5" i="12"/>
  <c r="U6" i="12"/>
  <c r="U7" i="12"/>
  <c r="U8" i="12"/>
  <c r="U9" i="12"/>
  <c r="T5" i="12"/>
  <c r="T6" i="12"/>
  <c r="T7" i="12"/>
  <c r="T8" i="12"/>
  <c r="T9" i="12"/>
  <c r="S5" i="12"/>
  <c r="S6" i="12"/>
  <c r="S7" i="12"/>
  <c r="S8" i="12"/>
  <c r="S9" i="12"/>
  <c r="D10" i="13" l="1"/>
  <c r="D8" i="13"/>
  <c r="D15" i="13"/>
  <c r="D5" i="13"/>
  <c r="D11" i="13"/>
  <c r="D6" i="13"/>
  <c r="D16" i="13"/>
  <c r="D7" i="13"/>
  <c r="D13" i="13"/>
  <c r="O4" i="12" l="1"/>
  <c r="AE4" i="12" s="1"/>
  <c r="P4" i="12"/>
  <c r="F29" i="7"/>
  <c r="AU39" i="1"/>
  <c r="W5" i="13"/>
  <c r="G7" i="14"/>
  <c r="G6" i="14"/>
  <c r="G5" i="14"/>
  <c r="G4" i="14"/>
  <c r="G3" i="14"/>
  <c r="R16" i="14"/>
  <c r="Q4" i="14"/>
  <c r="R4" i="14"/>
  <c r="Q5" i="14"/>
  <c r="R5" i="14"/>
  <c r="Q6" i="14"/>
  <c r="R6" i="14"/>
  <c r="Q7" i="14"/>
  <c r="R7" i="14"/>
  <c r="Q8" i="14"/>
  <c r="R8" i="14"/>
  <c r="Q9" i="14"/>
  <c r="R9" i="14"/>
  <c r="Q10" i="14"/>
  <c r="R10" i="14"/>
  <c r="Q11" i="14"/>
  <c r="R11" i="14"/>
  <c r="Q12" i="14"/>
  <c r="S12" i="14" s="1"/>
  <c r="R12" i="14"/>
  <c r="Q13" i="14"/>
  <c r="R13" i="14"/>
  <c r="Q14" i="14"/>
  <c r="R14" i="14"/>
  <c r="Q15" i="14"/>
  <c r="R15" i="14"/>
  <c r="Q16" i="14"/>
  <c r="R3" i="14"/>
  <c r="Q3" i="14"/>
  <c r="S3" i="14" s="1"/>
  <c r="J18" i="5"/>
  <c r="AF18" i="5"/>
  <c r="AJ18" i="5" s="1"/>
  <c r="S4" i="5"/>
  <c r="S5" i="14" l="1"/>
  <c r="S4" i="14"/>
  <c r="S8" i="14"/>
  <c r="S15" i="14"/>
  <c r="S7" i="14"/>
  <c r="S10" i="14"/>
  <c r="S6" i="14"/>
  <c r="S11" i="14"/>
  <c r="S14" i="14"/>
  <c r="S16" i="14"/>
  <c r="S9" i="14"/>
  <c r="S13" i="14"/>
  <c r="V4" i="9"/>
  <c r="X4" i="9"/>
  <c r="Y4" i="9"/>
  <c r="V9" i="9"/>
  <c r="U8" i="9"/>
  <c r="E6" i="9"/>
  <c r="D6" i="9"/>
  <c r="E5" i="9"/>
  <c r="X6" i="9"/>
  <c r="Y6" i="9"/>
  <c r="V5" i="9"/>
  <c r="U4" i="9"/>
  <c r="T4" i="9"/>
  <c r="S4" i="9"/>
  <c r="Q4" i="9"/>
  <c r="P3" i="9"/>
  <c r="J17" i="9"/>
  <c r="W6" i="13"/>
  <c r="W7" i="13"/>
  <c r="W8" i="13"/>
  <c r="W9" i="13"/>
  <c r="W10" i="13"/>
  <c r="W11" i="13"/>
  <c r="W12" i="13"/>
  <c r="W13" i="13"/>
  <c r="W14" i="13"/>
  <c r="W15" i="13"/>
  <c r="W16" i="13"/>
  <c r="Z57" i="9"/>
  <c r="Z47" i="9"/>
  <c r="Z38" i="9"/>
  <c r="J20" i="5"/>
  <c r="E63" i="7"/>
  <c r="A64" i="12"/>
  <c r="A58" i="12"/>
  <c r="A59" i="12"/>
  <c r="A60" i="12"/>
  <c r="A61" i="12"/>
  <c r="A62" i="12"/>
  <c r="A63" i="12"/>
  <c r="A53" i="12"/>
  <c r="A54" i="12"/>
  <c r="A55" i="12"/>
  <c r="A56" i="12"/>
  <c r="A57" i="12"/>
  <c r="A6" i="12"/>
  <c r="A7" i="12"/>
  <c r="A8" i="12"/>
  <c r="A9" i="12"/>
  <c r="I4" i="12" s="1"/>
  <c r="W4" i="12" s="1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" i="12"/>
  <c r="A4" i="12"/>
  <c r="H4" i="9"/>
  <c r="AM32" i="10"/>
  <c r="AM33" i="10"/>
  <c r="AM34" i="10"/>
  <c r="AM35" i="10"/>
  <c r="AM36" i="10"/>
  <c r="AM37" i="10"/>
  <c r="AM38" i="10"/>
  <c r="AM39" i="10"/>
  <c r="AM40" i="10"/>
  <c r="AM41" i="10"/>
  <c r="AM42" i="10"/>
  <c r="AM43" i="10"/>
  <c r="AM44" i="10"/>
  <c r="AM45" i="10"/>
  <c r="AM46" i="10"/>
  <c r="AM47" i="10"/>
  <c r="AM48" i="10"/>
  <c r="AM49" i="10"/>
  <c r="AM50" i="10"/>
  <c r="AM51" i="10"/>
  <c r="AM52" i="10"/>
  <c r="AM53" i="10"/>
  <c r="AM54" i="10"/>
  <c r="AM55" i="10"/>
  <c r="AM56" i="10"/>
  <c r="AM57" i="10"/>
  <c r="AM58" i="10"/>
  <c r="AM59" i="10"/>
  <c r="AM60" i="10"/>
  <c r="AM61" i="10"/>
  <c r="AM62" i="10"/>
  <c r="AM63" i="10"/>
  <c r="AM64" i="10"/>
  <c r="AM31" i="10"/>
  <c r="AM30" i="10"/>
  <c r="AL32" i="10"/>
  <c r="AL33" i="10"/>
  <c r="AL34" i="10"/>
  <c r="AL35" i="10"/>
  <c r="AL36" i="10"/>
  <c r="AL37" i="10"/>
  <c r="AL38" i="10"/>
  <c r="AL39" i="10"/>
  <c r="AL40" i="10"/>
  <c r="AL41" i="10"/>
  <c r="AL42" i="10"/>
  <c r="AL43" i="10"/>
  <c r="AL44" i="10"/>
  <c r="AL45" i="10"/>
  <c r="AL46" i="10"/>
  <c r="AL47" i="10"/>
  <c r="AL48" i="10"/>
  <c r="AL49" i="10"/>
  <c r="AL50" i="10"/>
  <c r="AL51" i="10"/>
  <c r="AL52" i="10"/>
  <c r="AL53" i="10"/>
  <c r="AL54" i="10"/>
  <c r="AL55" i="10"/>
  <c r="AL56" i="10"/>
  <c r="AL57" i="10"/>
  <c r="AL58" i="10"/>
  <c r="AL59" i="10"/>
  <c r="AL60" i="10"/>
  <c r="AL61" i="10"/>
  <c r="AL62" i="10"/>
  <c r="AL63" i="10"/>
  <c r="AL64" i="10"/>
  <c r="AL31" i="10"/>
  <c r="AL30" i="10"/>
  <c r="AL11" i="10"/>
  <c r="AL12" i="10"/>
  <c r="AL13" i="10"/>
  <c r="AL14" i="10"/>
  <c r="AL15" i="10"/>
  <c r="AL16" i="10"/>
  <c r="AL17" i="10"/>
  <c r="AL20" i="10"/>
  <c r="AL21" i="10"/>
  <c r="AL22" i="10"/>
  <c r="AL23" i="10"/>
  <c r="AL24" i="10"/>
  <c r="AL25" i="10"/>
  <c r="AL26" i="10"/>
  <c r="AL27" i="10"/>
  <c r="AL28" i="10"/>
  <c r="AL29" i="10"/>
  <c r="AL10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T53" i="10"/>
  <c r="T54" i="10"/>
  <c r="T55" i="10"/>
  <c r="T56" i="10"/>
  <c r="T57" i="10"/>
  <c r="T58" i="10"/>
  <c r="T59" i="10"/>
  <c r="T60" i="10"/>
  <c r="T61" i="10"/>
  <c r="T62" i="10"/>
  <c r="T63" i="10"/>
  <c r="T64" i="10"/>
  <c r="T31" i="10"/>
  <c r="T30" i="10"/>
  <c r="P6" i="9"/>
  <c r="Q6" i="9" s="1"/>
  <c r="V6" i="9" s="1"/>
  <c r="E29" i="7"/>
  <c r="M4" i="12" l="1"/>
  <c r="AA4" i="12" s="1"/>
  <c r="H4" i="12"/>
  <c r="AD4" i="12" s="1"/>
  <c r="N4" i="12"/>
  <c r="AB4" i="12" s="1"/>
  <c r="E4" i="12"/>
  <c r="AC4" i="12" s="1"/>
  <c r="D4" i="12"/>
  <c r="U4" i="12" s="1"/>
  <c r="F4" i="12"/>
  <c r="V4" i="12" s="1"/>
  <c r="J4" i="12"/>
  <c r="X4" i="12" s="1"/>
  <c r="C4" i="12"/>
  <c r="T4" i="12" s="1"/>
  <c r="K4" i="12"/>
  <c r="Y4" i="12" s="1"/>
  <c r="B4" i="12"/>
  <c r="S4" i="12" s="1"/>
  <c r="L4" i="12"/>
  <c r="Z4" i="12" s="1"/>
  <c r="U7" i="10"/>
  <c r="G4" i="12" l="1"/>
  <c r="Q4" i="12"/>
  <c r="J11" i="5"/>
  <c r="K8" i="5"/>
  <c r="AI64" i="5"/>
  <c r="AI5" i="5"/>
  <c r="AI6" i="5"/>
  <c r="AI7" i="5"/>
  <c r="AI8" i="5"/>
  <c r="AI9" i="5"/>
  <c r="AI10" i="5"/>
  <c r="AI11" i="5"/>
  <c r="AI12" i="5"/>
  <c r="AI13" i="5"/>
  <c r="AI14" i="5"/>
  <c r="AI15" i="5"/>
  <c r="AI16" i="5"/>
  <c r="AI17" i="5"/>
  <c r="AI18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I31" i="5"/>
  <c r="AI32" i="5"/>
  <c r="AI33" i="5"/>
  <c r="AI34" i="5"/>
  <c r="AI35" i="5"/>
  <c r="AI36" i="5"/>
  <c r="AI37" i="5"/>
  <c r="AI38" i="5"/>
  <c r="AI39" i="5"/>
  <c r="AI40" i="5"/>
  <c r="AI41" i="5"/>
  <c r="AI42" i="5"/>
  <c r="AI43" i="5"/>
  <c r="AI44" i="5"/>
  <c r="AI45" i="5"/>
  <c r="AI46" i="5"/>
  <c r="AI47" i="5"/>
  <c r="AI48" i="5"/>
  <c r="AI49" i="5"/>
  <c r="AI50" i="5"/>
  <c r="AI51" i="5"/>
  <c r="AI52" i="5"/>
  <c r="AI53" i="5"/>
  <c r="AI54" i="5"/>
  <c r="AI55" i="5"/>
  <c r="AI56" i="5"/>
  <c r="AI57" i="5"/>
  <c r="AI58" i="5"/>
  <c r="AI59" i="5"/>
  <c r="AI60" i="5"/>
  <c r="AI61" i="5"/>
  <c r="AI62" i="5"/>
  <c r="AI63" i="5"/>
  <c r="AH57" i="5"/>
  <c r="AH58" i="5"/>
  <c r="AH59" i="5"/>
  <c r="AH60" i="5"/>
  <c r="AH61" i="5"/>
  <c r="AH62" i="5"/>
  <c r="AH63" i="5"/>
  <c r="AH64" i="5"/>
  <c r="AH5" i="5"/>
  <c r="AH6" i="5"/>
  <c r="AH7" i="5"/>
  <c r="AH8" i="5"/>
  <c r="AH9" i="5"/>
  <c r="AH10" i="5"/>
  <c r="AH11" i="5"/>
  <c r="AH12" i="5"/>
  <c r="AH13" i="5"/>
  <c r="AH14" i="5"/>
  <c r="AH15" i="5"/>
  <c r="AH16" i="5"/>
  <c r="AH17" i="5"/>
  <c r="AH20" i="5"/>
  <c r="AH21" i="5"/>
  <c r="AH22" i="5"/>
  <c r="AH23" i="5"/>
  <c r="AH24" i="5"/>
  <c r="AH25" i="5"/>
  <c r="AH27" i="5"/>
  <c r="AH28" i="5"/>
  <c r="AH29" i="5"/>
  <c r="AH30" i="5"/>
  <c r="AH31" i="5"/>
  <c r="AH32" i="5"/>
  <c r="AH33" i="5"/>
  <c r="AH34" i="5"/>
  <c r="AH35" i="5"/>
  <c r="AH36" i="5"/>
  <c r="AH37" i="5"/>
  <c r="AH38" i="5"/>
  <c r="AH39" i="5"/>
  <c r="AH40" i="5"/>
  <c r="AH41" i="5"/>
  <c r="AH42" i="5"/>
  <c r="AH43" i="5"/>
  <c r="AH44" i="5"/>
  <c r="AH45" i="5"/>
  <c r="AH46" i="5"/>
  <c r="AH47" i="5"/>
  <c r="AH48" i="5"/>
  <c r="AH49" i="5"/>
  <c r="AH50" i="5"/>
  <c r="AH51" i="5"/>
  <c r="AH52" i="5"/>
  <c r="AH53" i="5"/>
  <c r="AH54" i="5"/>
  <c r="AG31" i="5"/>
  <c r="AG33" i="5"/>
  <c r="AG34" i="5"/>
  <c r="AG36" i="5"/>
  <c r="AG37" i="5"/>
  <c r="AG39" i="5"/>
  <c r="AG40" i="5"/>
  <c r="AG41" i="5"/>
  <c r="AG43" i="5"/>
  <c r="AG44" i="5"/>
  <c r="AG45" i="5"/>
  <c r="AG48" i="5"/>
  <c r="AG49" i="5"/>
  <c r="AG51" i="5"/>
  <c r="AG52" i="5"/>
  <c r="AG53" i="5"/>
  <c r="AG56" i="5"/>
  <c r="AG57" i="5"/>
  <c r="AG58" i="5"/>
  <c r="AG60" i="5"/>
  <c r="AG61" i="5"/>
  <c r="AG62" i="5"/>
  <c r="AG63" i="5"/>
  <c r="AG64" i="5"/>
  <c r="AG5" i="5"/>
  <c r="AG6" i="5"/>
  <c r="AG7" i="5"/>
  <c r="AG8" i="5"/>
  <c r="AG9" i="5"/>
  <c r="AG10" i="5"/>
  <c r="AG11" i="5"/>
  <c r="AG12" i="5"/>
  <c r="AG13" i="5"/>
  <c r="AG14" i="5"/>
  <c r="AG15" i="5"/>
  <c r="AG16" i="5"/>
  <c r="AG17" i="5"/>
  <c r="AG20" i="5"/>
  <c r="AG21" i="5"/>
  <c r="AG22" i="5"/>
  <c r="AG23" i="5"/>
  <c r="AG24" i="5"/>
  <c r="AG25" i="5"/>
  <c r="AG27" i="5"/>
  <c r="AG28" i="5"/>
  <c r="AG29" i="5"/>
  <c r="AF5" i="5"/>
  <c r="AF6" i="5"/>
  <c r="AF7" i="5"/>
  <c r="AF8" i="5"/>
  <c r="AF10" i="5"/>
  <c r="AF11" i="5"/>
  <c r="AF12" i="5"/>
  <c r="AF13" i="5"/>
  <c r="AF14" i="5"/>
  <c r="AF15" i="5"/>
  <c r="AF16" i="5"/>
  <c r="AF17" i="5"/>
  <c r="AF20" i="5"/>
  <c r="AF27" i="5"/>
  <c r="AF28" i="5"/>
  <c r="AF29" i="5"/>
  <c r="AF30" i="5"/>
  <c r="AF31" i="5"/>
  <c r="AF33" i="5"/>
  <c r="AF34" i="5"/>
  <c r="AF36" i="5"/>
  <c r="AF37" i="5"/>
  <c r="AF39" i="5"/>
  <c r="AF40" i="5"/>
  <c r="AF41" i="5"/>
  <c r="AF43" i="5"/>
  <c r="AF44" i="5"/>
  <c r="AF45" i="5"/>
  <c r="AF47" i="5"/>
  <c r="AF48" i="5"/>
  <c r="AF49" i="5"/>
  <c r="AF51" i="5"/>
  <c r="AF52" i="5"/>
  <c r="AF53" i="5"/>
  <c r="AF56" i="5"/>
  <c r="AF57" i="5"/>
  <c r="AF58" i="5"/>
  <c r="AF60" i="5"/>
  <c r="AF61" i="5"/>
  <c r="AF62" i="5"/>
  <c r="AF63" i="5"/>
  <c r="AF64" i="5"/>
  <c r="AE5" i="5"/>
  <c r="AE6" i="5"/>
  <c r="AE7" i="5"/>
  <c r="AE8" i="5"/>
  <c r="AE9" i="5"/>
  <c r="AE10" i="5"/>
  <c r="AE11" i="5"/>
  <c r="AJ11" i="5" s="1"/>
  <c r="AE12" i="5"/>
  <c r="AE13" i="5"/>
  <c r="AE14" i="5"/>
  <c r="AE15" i="5"/>
  <c r="AE16" i="5"/>
  <c r="AE17" i="5"/>
  <c r="AE20" i="5"/>
  <c r="AE21" i="5"/>
  <c r="AE22" i="5"/>
  <c r="AE23" i="5"/>
  <c r="AE24" i="5"/>
  <c r="AE25" i="5"/>
  <c r="AE27" i="5"/>
  <c r="AE28" i="5"/>
  <c r="AE29" i="5"/>
  <c r="AE30" i="5"/>
  <c r="AE31" i="5"/>
  <c r="AJ31" i="5" s="1"/>
  <c r="AE33" i="5"/>
  <c r="AE34" i="5"/>
  <c r="AJ34" i="5" s="1"/>
  <c r="AE35" i="5"/>
  <c r="AE36" i="5"/>
  <c r="AE37" i="5"/>
  <c r="AE39" i="5"/>
  <c r="AE40" i="5"/>
  <c r="AE41" i="5"/>
  <c r="AE43" i="5"/>
  <c r="AE44" i="5"/>
  <c r="AE45" i="5"/>
  <c r="AE46" i="5"/>
  <c r="AE48" i="5"/>
  <c r="AE49" i="5"/>
  <c r="AE51" i="5"/>
  <c r="AJ51" i="5" s="1"/>
  <c r="AE52" i="5"/>
  <c r="AE53" i="5"/>
  <c r="AE56" i="5"/>
  <c r="AE57" i="5"/>
  <c r="AJ57" i="5" s="1"/>
  <c r="AE58" i="5"/>
  <c r="AE60" i="5"/>
  <c r="AE61" i="5"/>
  <c r="AE62" i="5"/>
  <c r="AE63" i="5"/>
  <c r="AE64" i="5"/>
  <c r="AJ64" i="5" s="1"/>
  <c r="R5" i="5"/>
  <c r="AC5" i="5" s="1"/>
  <c r="R6" i="5"/>
  <c r="AC6" i="5" s="1"/>
  <c r="R7" i="5"/>
  <c r="AC7" i="5" s="1"/>
  <c r="R8" i="5"/>
  <c r="AC8" i="5" s="1"/>
  <c r="R9" i="5"/>
  <c r="W9" i="5" s="1"/>
  <c r="R10" i="5"/>
  <c r="W10" i="5" s="1"/>
  <c r="F10" i="10" s="1"/>
  <c r="F10" i="12" s="1"/>
  <c r="V10" i="12" s="1"/>
  <c r="R11" i="5"/>
  <c r="W11" i="5" s="1"/>
  <c r="F11" i="10" s="1"/>
  <c r="F11" i="12" s="1"/>
  <c r="R12" i="5"/>
  <c r="AC12" i="5" s="1"/>
  <c r="Z12" i="10" s="1"/>
  <c r="R13" i="5"/>
  <c r="AC13" i="5" s="1"/>
  <c r="Z13" i="10" s="1"/>
  <c r="R14" i="5"/>
  <c r="AC14" i="5" s="1"/>
  <c r="Z14" i="10" s="1"/>
  <c r="R15" i="5"/>
  <c r="AC15" i="5" s="1"/>
  <c r="Z15" i="10" s="1"/>
  <c r="R16" i="5"/>
  <c r="AC16" i="5" s="1"/>
  <c r="Z16" i="10" s="1"/>
  <c r="R17" i="5"/>
  <c r="W17" i="5" s="1"/>
  <c r="F17" i="10" s="1"/>
  <c r="F17" i="12" s="1"/>
  <c r="R18" i="5"/>
  <c r="W18" i="5" s="1"/>
  <c r="F18" i="10" s="1"/>
  <c r="F18" i="12" s="1"/>
  <c r="R19" i="5"/>
  <c r="W19" i="5" s="1"/>
  <c r="F19" i="10" s="1"/>
  <c r="F19" i="12" s="1"/>
  <c r="R20" i="5"/>
  <c r="AC20" i="5" s="1"/>
  <c r="Z20" i="10" s="1"/>
  <c r="R21" i="5"/>
  <c r="AC21" i="5" s="1"/>
  <c r="Z21" i="10" s="1"/>
  <c r="R22" i="5"/>
  <c r="AC22" i="5" s="1"/>
  <c r="Z22" i="10" s="1"/>
  <c r="R23" i="5"/>
  <c r="AC23" i="5" s="1"/>
  <c r="Z23" i="10" s="1"/>
  <c r="R24" i="5"/>
  <c r="AC24" i="5" s="1"/>
  <c r="Z24" i="10" s="1"/>
  <c r="R25" i="5"/>
  <c r="W25" i="5" s="1"/>
  <c r="F25" i="10" s="1"/>
  <c r="F25" i="12" s="1"/>
  <c r="R26" i="5"/>
  <c r="W26" i="5" s="1"/>
  <c r="F26" i="10" s="1"/>
  <c r="F26" i="12" s="1"/>
  <c r="R27" i="5"/>
  <c r="W27" i="5" s="1"/>
  <c r="F27" i="10" s="1"/>
  <c r="F27" i="12" s="1"/>
  <c r="R28" i="5"/>
  <c r="AC28" i="5" s="1"/>
  <c r="Z28" i="10" s="1"/>
  <c r="R29" i="5"/>
  <c r="AC29" i="5" s="1"/>
  <c r="Z29" i="10" s="1"/>
  <c r="R30" i="5"/>
  <c r="AC30" i="5" s="1"/>
  <c r="Z30" i="10" s="1"/>
  <c r="R31" i="5"/>
  <c r="AC31" i="5" s="1"/>
  <c r="Z31" i="10" s="1"/>
  <c r="R32" i="5"/>
  <c r="AC32" i="5" s="1"/>
  <c r="Z32" i="10" s="1"/>
  <c r="R33" i="5"/>
  <c r="W33" i="5" s="1"/>
  <c r="F33" i="10" s="1"/>
  <c r="F33" i="12" s="1"/>
  <c r="R34" i="5"/>
  <c r="W34" i="5" s="1"/>
  <c r="F34" i="10" s="1"/>
  <c r="F34" i="12" s="1"/>
  <c r="R35" i="5"/>
  <c r="W35" i="5" s="1"/>
  <c r="F35" i="10" s="1"/>
  <c r="F35" i="12" s="1"/>
  <c r="R36" i="5"/>
  <c r="AC36" i="5" s="1"/>
  <c r="Z36" i="10" s="1"/>
  <c r="R37" i="5"/>
  <c r="AC37" i="5" s="1"/>
  <c r="Z37" i="10" s="1"/>
  <c r="R38" i="5"/>
  <c r="AC38" i="5" s="1"/>
  <c r="Z38" i="10" s="1"/>
  <c r="R39" i="5"/>
  <c r="AC39" i="5" s="1"/>
  <c r="Z39" i="10" s="1"/>
  <c r="R40" i="5"/>
  <c r="AC40" i="5" s="1"/>
  <c r="Z40" i="10" s="1"/>
  <c r="R41" i="5"/>
  <c r="W41" i="5" s="1"/>
  <c r="F41" i="10" s="1"/>
  <c r="F41" i="12" s="1"/>
  <c r="R42" i="5"/>
  <c r="W42" i="5" s="1"/>
  <c r="F42" i="10" s="1"/>
  <c r="F42" i="12" s="1"/>
  <c r="R43" i="5"/>
  <c r="W43" i="5" s="1"/>
  <c r="F43" i="10" s="1"/>
  <c r="F43" i="12" s="1"/>
  <c r="R44" i="5"/>
  <c r="AC44" i="5" s="1"/>
  <c r="Z44" i="10" s="1"/>
  <c r="R45" i="5"/>
  <c r="AC45" i="5" s="1"/>
  <c r="Z45" i="10" s="1"/>
  <c r="R46" i="5"/>
  <c r="AC46" i="5" s="1"/>
  <c r="Z46" i="10" s="1"/>
  <c r="R47" i="5"/>
  <c r="AC47" i="5" s="1"/>
  <c r="Z47" i="10" s="1"/>
  <c r="R48" i="5"/>
  <c r="AC48" i="5" s="1"/>
  <c r="Z48" i="10" s="1"/>
  <c r="R49" i="5"/>
  <c r="W49" i="5" s="1"/>
  <c r="F49" i="10" s="1"/>
  <c r="F49" i="12" s="1"/>
  <c r="R50" i="5"/>
  <c r="W50" i="5" s="1"/>
  <c r="F50" i="10" s="1"/>
  <c r="F50" i="12" s="1"/>
  <c r="R51" i="5"/>
  <c r="W51" i="5" s="1"/>
  <c r="F51" i="10" s="1"/>
  <c r="F51" i="12" s="1"/>
  <c r="R52" i="5"/>
  <c r="AC52" i="5" s="1"/>
  <c r="Z52" i="10" s="1"/>
  <c r="R53" i="5"/>
  <c r="AC53" i="5" s="1"/>
  <c r="Z53" i="10" s="1"/>
  <c r="R54" i="5"/>
  <c r="AC54" i="5" s="1"/>
  <c r="Z54" i="10" s="1"/>
  <c r="R55" i="5"/>
  <c r="AC55" i="5" s="1"/>
  <c r="Z55" i="10" s="1"/>
  <c r="R56" i="5"/>
  <c r="AC56" i="5" s="1"/>
  <c r="Z56" i="10" s="1"/>
  <c r="R57" i="5"/>
  <c r="W57" i="5" s="1"/>
  <c r="F57" i="10" s="1"/>
  <c r="F57" i="12" s="1"/>
  <c r="R58" i="5"/>
  <c r="W58" i="5" s="1"/>
  <c r="F58" i="10" s="1"/>
  <c r="F58" i="12" s="1"/>
  <c r="R59" i="5"/>
  <c r="W59" i="5" s="1"/>
  <c r="F59" i="10" s="1"/>
  <c r="F59" i="12" s="1"/>
  <c r="R60" i="5"/>
  <c r="AC60" i="5" s="1"/>
  <c r="Z60" i="10" s="1"/>
  <c r="R61" i="5"/>
  <c r="AC61" i="5" s="1"/>
  <c r="Z61" i="10" s="1"/>
  <c r="R62" i="5"/>
  <c r="AC62" i="5" s="1"/>
  <c r="Z62" i="10" s="1"/>
  <c r="R63" i="5"/>
  <c r="AC63" i="5" s="1"/>
  <c r="Z63" i="10" s="1"/>
  <c r="R64" i="5"/>
  <c r="AC64" i="5" s="1"/>
  <c r="Z64" i="10" s="1"/>
  <c r="Q5" i="5"/>
  <c r="V5" i="5" s="1"/>
  <c r="Q6" i="5"/>
  <c r="V6" i="5" s="1"/>
  <c r="Q7" i="5"/>
  <c r="V7" i="5" s="1"/>
  <c r="Q8" i="5"/>
  <c r="AB8" i="5" s="1"/>
  <c r="Q9" i="5"/>
  <c r="AB9" i="5" s="1"/>
  <c r="Q10" i="5"/>
  <c r="AB10" i="5" s="1"/>
  <c r="Y10" i="10" s="1"/>
  <c r="Q11" i="5"/>
  <c r="AB11" i="5" s="1"/>
  <c r="Y11" i="10" s="1"/>
  <c r="Q12" i="5"/>
  <c r="AB12" i="5" s="1"/>
  <c r="Y12" i="10" s="1"/>
  <c r="Q13" i="5"/>
  <c r="V13" i="5" s="1"/>
  <c r="E13" i="10" s="1"/>
  <c r="E13" i="12" s="1"/>
  <c r="AY13" i="12" s="1"/>
  <c r="Q14" i="5"/>
  <c r="V14" i="5" s="1"/>
  <c r="E14" i="10" s="1"/>
  <c r="E14" i="12" s="1"/>
  <c r="AY14" i="12" s="1"/>
  <c r="Q15" i="5"/>
  <c r="V15" i="5" s="1"/>
  <c r="E15" i="10" s="1"/>
  <c r="E15" i="12" s="1"/>
  <c r="AY15" i="12" s="1"/>
  <c r="Q16" i="5"/>
  <c r="AB16" i="5" s="1"/>
  <c r="Y16" i="10" s="1"/>
  <c r="Q17" i="5"/>
  <c r="AB17" i="5" s="1"/>
  <c r="Y17" i="10" s="1"/>
  <c r="Q20" i="5"/>
  <c r="AB20" i="5" s="1"/>
  <c r="Y20" i="10" s="1"/>
  <c r="Q21" i="5"/>
  <c r="V21" i="5" s="1"/>
  <c r="E21" i="10" s="1"/>
  <c r="E21" i="12" s="1"/>
  <c r="Q22" i="5"/>
  <c r="V22" i="5" s="1"/>
  <c r="E22" i="10" s="1"/>
  <c r="E22" i="12" s="1"/>
  <c r="AY22" i="12" s="1"/>
  <c r="Q23" i="5"/>
  <c r="V23" i="5" s="1"/>
  <c r="E23" i="10" s="1"/>
  <c r="E23" i="12" s="1"/>
  <c r="AY23" i="12" s="1"/>
  <c r="Q24" i="5"/>
  <c r="AB24" i="5" s="1"/>
  <c r="Y24" i="10" s="1"/>
  <c r="Q25" i="5"/>
  <c r="AB25" i="5" s="1"/>
  <c r="Y25" i="10" s="1"/>
  <c r="Q27" i="5"/>
  <c r="AB27" i="5" s="1"/>
  <c r="Y27" i="10" s="1"/>
  <c r="Q28" i="5"/>
  <c r="AB28" i="5" s="1"/>
  <c r="Y28" i="10" s="1"/>
  <c r="Q29" i="5"/>
  <c r="V29" i="5" s="1"/>
  <c r="E29" i="10" s="1"/>
  <c r="E29" i="12" s="1"/>
  <c r="AY29" i="12" s="1"/>
  <c r="Q30" i="5"/>
  <c r="V30" i="5" s="1"/>
  <c r="E30" i="10" s="1"/>
  <c r="E30" i="12" s="1"/>
  <c r="Q31" i="5"/>
  <c r="V31" i="5" s="1"/>
  <c r="E31" i="10" s="1"/>
  <c r="E31" i="12" s="1"/>
  <c r="AY31" i="12" s="1"/>
  <c r="Q32" i="5"/>
  <c r="AB32" i="5" s="1"/>
  <c r="Y32" i="10" s="1"/>
  <c r="Q33" i="5"/>
  <c r="AB33" i="5" s="1"/>
  <c r="Y33" i="10" s="1"/>
  <c r="Q34" i="5"/>
  <c r="AB34" i="5" s="1"/>
  <c r="Y34" i="10" s="1"/>
  <c r="Q35" i="5"/>
  <c r="AB35" i="5" s="1"/>
  <c r="Y35" i="10" s="1"/>
  <c r="Q36" i="5"/>
  <c r="AB36" i="5" s="1"/>
  <c r="Y36" i="10" s="1"/>
  <c r="Q37" i="5"/>
  <c r="V37" i="5" s="1"/>
  <c r="E37" i="10" s="1"/>
  <c r="E37" i="12" s="1"/>
  <c r="AY37" i="12" s="1"/>
  <c r="Q38" i="5"/>
  <c r="V38" i="5" s="1"/>
  <c r="E38" i="10" s="1"/>
  <c r="E38" i="12" s="1"/>
  <c r="AY38" i="12" s="1"/>
  <c r="Q39" i="5"/>
  <c r="V39" i="5" s="1"/>
  <c r="E39" i="10" s="1"/>
  <c r="E39" i="12" s="1"/>
  <c r="Q40" i="5"/>
  <c r="AB40" i="5" s="1"/>
  <c r="Y40" i="10" s="1"/>
  <c r="Q41" i="5"/>
  <c r="AB41" i="5" s="1"/>
  <c r="Y41" i="10" s="1"/>
  <c r="Q42" i="5"/>
  <c r="AB42" i="5" s="1"/>
  <c r="Y42" i="10" s="1"/>
  <c r="Q43" i="5"/>
  <c r="AB43" i="5" s="1"/>
  <c r="Y43" i="10" s="1"/>
  <c r="Q44" i="5"/>
  <c r="AB44" i="5" s="1"/>
  <c r="Y44" i="10" s="1"/>
  <c r="Q45" i="5"/>
  <c r="V45" i="5" s="1"/>
  <c r="E45" i="10" s="1"/>
  <c r="E45" i="12" s="1"/>
  <c r="AY45" i="12" s="1"/>
  <c r="Q46" i="5"/>
  <c r="V46" i="5" s="1"/>
  <c r="E46" i="10" s="1"/>
  <c r="E46" i="12" s="1"/>
  <c r="AY46" i="12" s="1"/>
  <c r="Q47" i="5"/>
  <c r="V47" i="5" s="1"/>
  <c r="E47" i="10" s="1"/>
  <c r="E47" i="12" s="1"/>
  <c r="AY47" i="12" s="1"/>
  <c r="Q48" i="5"/>
  <c r="AB48" i="5" s="1"/>
  <c r="Y48" i="10" s="1"/>
  <c r="Q49" i="5"/>
  <c r="AB49" i="5" s="1"/>
  <c r="Y49" i="10" s="1"/>
  <c r="Q50" i="5"/>
  <c r="AB50" i="5" s="1"/>
  <c r="Y50" i="10" s="1"/>
  <c r="Q51" i="5"/>
  <c r="AB51" i="5" s="1"/>
  <c r="Y51" i="10" s="1"/>
  <c r="Q52" i="5"/>
  <c r="AB52" i="5" s="1"/>
  <c r="Y52" i="10" s="1"/>
  <c r="Q53" i="5"/>
  <c r="V53" i="5" s="1"/>
  <c r="E53" i="10" s="1"/>
  <c r="E53" i="12" s="1"/>
  <c r="AY53" i="12" s="1"/>
  <c r="Q56" i="5"/>
  <c r="AB56" i="5" s="1"/>
  <c r="Y56" i="10" s="1"/>
  <c r="Q57" i="5"/>
  <c r="AB57" i="5" s="1"/>
  <c r="Y57" i="10" s="1"/>
  <c r="Q58" i="5"/>
  <c r="AB58" i="5" s="1"/>
  <c r="Y58" i="10" s="1"/>
  <c r="Q60" i="5"/>
  <c r="AB60" i="5" s="1"/>
  <c r="Y60" i="10" s="1"/>
  <c r="Q61" i="5"/>
  <c r="V61" i="5" s="1"/>
  <c r="E61" i="10" s="1"/>
  <c r="E61" i="12" s="1"/>
  <c r="AY61" i="12" s="1"/>
  <c r="Q62" i="5"/>
  <c r="V62" i="5" s="1"/>
  <c r="E62" i="10" s="1"/>
  <c r="E62" i="12" s="1"/>
  <c r="AY62" i="12" s="1"/>
  <c r="Q63" i="5"/>
  <c r="V63" i="5" s="1"/>
  <c r="E63" i="10" s="1"/>
  <c r="E63" i="12" s="1"/>
  <c r="AY63" i="12" s="1"/>
  <c r="Q64" i="5"/>
  <c r="AB64" i="5" s="1"/>
  <c r="Y64" i="10" s="1"/>
  <c r="P5" i="5"/>
  <c r="AA5" i="5" s="1"/>
  <c r="P6" i="5"/>
  <c r="AA6" i="5" s="1"/>
  <c r="P7" i="5"/>
  <c r="AA7" i="5" s="1"/>
  <c r="P8" i="5"/>
  <c r="AA8" i="5" s="1"/>
  <c r="P9" i="5"/>
  <c r="U9" i="5" s="1"/>
  <c r="P10" i="5"/>
  <c r="U10" i="5" s="1"/>
  <c r="D10" i="10" s="1"/>
  <c r="P11" i="5"/>
  <c r="U11" i="5" s="1"/>
  <c r="D11" i="10" s="1"/>
  <c r="P12" i="5"/>
  <c r="AA12" i="5" s="1"/>
  <c r="X12" i="10" s="1"/>
  <c r="P13" i="5"/>
  <c r="AA13" i="5" s="1"/>
  <c r="X13" i="10" s="1"/>
  <c r="P14" i="5"/>
  <c r="AA14" i="5" s="1"/>
  <c r="X14" i="10" s="1"/>
  <c r="P15" i="5"/>
  <c r="AA15" i="5" s="1"/>
  <c r="X15" i="10" s="1"/>
  <c r="P16" i="5"/>
  <c r="AA16" i="5" s="1"/>
  <c r="X16" i="10" s="1"/>
  <c r="P17" i="5"/>
  <c r="U17" i="5" s="1"/>
  <c r="D17" i="10" s="1"/>
  <c r="P20" i="5"/>
  <c r="AA20" i="5" s="1"/>
  <c r="X20" i="10" s="1"/>
  <c r="P21" i="5"/>
  <c r="AA21" i="5" s="1"/>
  <c r="X21" i="10" s="1"/>
  <c r="P22" i="5"/>
  <c r="AA22" i="5" s="1"/>
  <c r="X22" i="10" s="1"/>
  <c r="P23" i="5"/>
  <c r="AA23" i="5" s="1"/>
  <c r="X23" i="10" s="1"/>
  <c r="P24" i="5"/>
  <c r="AA24" i="5" s="1"/>
  <c r="X24" i="10" s="1"/>
  <c r="P25" i="5"/>
  <c r="U25" i="5" s="1"/>
  <c r="D25" i="10" s="1"/>
  <c r="P27" i="5"/>
  <c r="U27" i="5" s="1"/>
  <c r="D27" i="10" s="1"/>
  <c r="P28" i="5"/>
  <c r="AA28" i="5" s="1"/>
  <c r="X28" i="10" s="1"/>
  <c r="P29" i="5"/>
  <c r="AA29" i="5" s="1"/>
  <c r="X29" i="10" s="1"/>
  <c r="P30" i="5"/>
  <c r="AA30" i="5" s="1"/>
  <c r="X30" i="10" s="1"/>
  <c r="P31" i="5"/>
  <c r="AA31" i="5" s="1"/>
  <c r="X31" i="10" s="1"/>
  <c r="P33" i="5"/>
  <c r="U33" i="5" s="1"/>
  <c r="D33" i="10" s="1"/>
  <c r="P34" i="5"/>
  <c r="U34" i="5" s="1"/>
  <c r="D34" i="10" s="1"/>
  <c r="P36" i="5"/>
  <c r="AA36" i="5" s="1"/>
  <c r="X36" i="10" s="1"/>
  <c r="P37" i="5"/>
  <c r="AA37" i="5" s="1"/>
  <c r="X37" i="10" s="1"/>
  <c r="P39" i="5"/>
  <c r="AA39" i="5" s="1"/>
  <c r="X39" i="10" s="1"/>
  <c r="P40" i="5"/>
  <c r="AA40" i="5" s="1"/>
  <c r="X40" i="10" s="1"/>
  <c r="P41" i="5"/>
  <c r="U41" i="5" s="1"/>
  <c r="D41" i="10" s="1"/>
  <c r="P43" i="5"/>
  <c r="U43" i="5" s="1"/>
  <c r="D43" i="10" s="1"/>
  <c r="P44" i="5"/>
  <c r="AA44" i="5" s="1"/>
  <c r="X44" i="10" s="1"/>
  <c r="P45" i="5"/>
  <c r="AA45" i="5" s="1"/>
  <c r="X45" i="10" s="1"/>
  <c r="P48" i="5"/>
  <c r="AA48" i="5" s="1"/>
  <c r="X48" i="10" s="1"/>
  <c r="P49" i="5"/>
  <c r="U49" i="5" s="1"/>
  <c r="D49" i="10" s="1"/>
  <c r="P51" i="5"/>
  <c r="U51" i="5" s="1"/>
  <c r="D51" i="10" s="1"/>
  <c r="P52" i="5"/>
  <c r="AA52" i="5" s="1"/>
  <c r="X52" i="10" s="1"/>
  <c r="P53" i="5"/>
  <c r="AA53" i="5" s="1"/>
  <c r="X53" i="10" s="1"/>
  <c r="P56" i="5"/>
  <c r="AA56" i="5" s="1"/>
  <c r="X56" i="10" s="1"/>
  <c r="P57" i="5"/>
  <c r="U57" i="5" s="1"/>
  <c r="D57" i="10" s="1"/>
  <c r="P58" i="5"/>
  <c r="U58" i="5" s="1"/>
  <c r="D58" i="10" s="1"/>
  <c r="P60" i="5"/>
  <c r="AA60" i="5" s="1"/>
  <c r="X60" i="10" s="1"/>
  <c r="P61" i="5"/>
  <c r="AA61" i="5" s="1"/>
  <c r="X61" i="10" s="1"/>
  <c r="P62" i="5"/>
  <c r="AA62" i="5" s="1"/>
  <c r="X62" i="10" s="1"/>
  <c r="P63" i="5"/>
  <c r="AA63" i="5" s="1"/>
  <c r="X63" i="10" s="1"/>
  <c r="P64" i="5"/>
  <c r="AA64" i="5" s="1"/>
  <c r="X64" i="10" s="1"/>
  <c r="O5" i="5"/>
  <c r="T5" i="5" s="1"/>
  <c r="O6" i="5"/>
  <c r="T6" i="5" s="1"/>
  <c r="O7" i="5"/>
  <c r="Z7" i="5" s="1"/>
  <c r="O8" i="5"/>
  <c r="Z8" i="5" s="1"/>
  <c r="O10" i="5"/>
  <c r="T10" i="5" s="1"/>
  <c r="C10" i="10" s="1"/>
  <c r="O11" i="5"/>
  <c r="T11" i="5" s="1"/>
  <c r="C11" i="10" s="1"/>
  <c r="O12" i="5"/>
  <c r="T12" i="5" s="1"/>
  <c r="C12" i="10" s="1"/>
  <c r="O13" i="5"/>
  <c r="T13" i="5" s="1"/>
  <c r="C13" i="10" s="1"/>
  <c r="O14" i="5"/>
  <c r="T14" i="5" s="1"/>
  <c r="C14" i="10" s="1"/>
  <c r="O15" i="5"/>
  <c r="Z15" i="5" s="1"/>
  <c r="W15" i="10" s="1"/>
  <c r="O16" i="5"/>
  <c r="Z16" i="5" s="1"/>
  <c r="W16" i="10" s="1"/>
  <c r="O17" i="5"/>
  <c r="Z17" i="5" s="1"/>
  <c r="W17" i="10" s="1"/>
  <c r="O20" i="5"/>
  <c r="T20" i="5" s="1"/>
  <c r="O27" i="5"/>
  <c r="T27" i="5" s="1"/>
  <c r="C27" i="10" s="1"/>
  <c r="O28" i="5"/>
  <c r="T28" i="5" s="1"/>
  <c r="C28" i="10" s="1"/>
  <c r="O29" i="5"/>
  <c r="T29" i="5" s="1"/>
  <c r="C29" i="10" s="1"/>
  <c r="O30" i="5"/>
  <c r="Z30" i="5" s="1"/>
  <c r="W30" i="10" s="1"/>
  <c r="O31" i="5"/>
  <c r="Z31" i="5" s="1"/>
  <c r="W31" i="10" s="1"/>
  <c r="O33" i="5"/>
  <c r="T33" i="5" s="1"/>
  <c r="C33" i="10" s="1"/>
  <c r="O34" i="5"/>
  <c r="T34" i="5" s="1"/>
  <c r="C34" i="10" s="1"/>
  <c r="O36" i="5"/>
  <c r="T36" i="5" s="1"/>
  <c r="C36" i="10" s="1"/>
  <c r="O37" i="5"/>
  <c r="T37" i="5" s="1"/>
  <c r="C37" i="10" s="1"/>
  <c r="O39" i="5"/>
  <c r="T39" i="5" s="1"/>
  <c r="C39" i="10" s="1"/>
  <c r="O40" i="5"/>
  <c r="Z40" i="5" s="1"/>
  <c r="W40" i="10" s="1"/>
  <c r="O41" i="5"/>
  <c r="Z41" i="5" s="1"/>
  <c r="W41" i="10" s="1"/>
  <c r="O43" i="5"/>
  <c r="Z43" i="5" s="1"/>
  <c r="W43" i="10" s="1"/>
  <c r="O44" i="5"/>
  <c r="T44" i="5" s="1"/>
  <c r="C44" i="10" s="1"/>
  <c r="O45" i="5"/>
  <c r="T45" i="5" s="1"/>
  <c r="C45" i="10" s="1"/>
  <c r="O48" i="5"/>
  <c r="Z48" i="5" s="1"/>
  <c r="W48" i="10" s="1"/>
  <c r="O49" i="5"/>
  <c r="Z49" i="5" s="1"/>
  <c r="W49" i="10" s="1"/>
  <c r="O50" i="5"/>
  <c r="Z50" i="5" s="1"/>
  <c r="W50" i="10" s="1"/>
  <c r="O51" i="5"/>
  <c r="Z51" i="5" s="1"/>
  <c r="W51" i="10" s="1"/>
  <c r="O52" i="5"/>
  <c r="T52" i="5" s="1"/>
  <c r="C52" i="10" s="1"/>
  <c r="O53" i="5"/>
  <c r="T53" i="5" s="1"/>
  <c r="C53" i="10" s="1"/>
  <c r="O54" i="5"/>
  <c r="Z54" i="5" s="1"/>
  <c r="W54" i="10" s="1"/>
  <c r="O55" i="5"/>
  <c r="Z55" i="5" s="1"/>
  <c r="W55" i="10" s="1"/>
  <c r="O56" i="5"/>
  <c r="Z56" i="5" s="1"/>
  <c r="W56" i="10" s="1"/>
  <c r="O57" i="5"/>
  <c r="Z57" i="5" s="1"/>
  <c r="W57" i="10" s="1"/>
  <c r="O58" i="5"/>
  <c r="Z58" i="5" s="1"/>
  <c r="W58" i="10" s="1"/>
  <c r="O60" i="5"/>
  <c r="T60" i="5" s="1"/>
  <c r="C60" i="10" s="1"/>
  <c r="O61" i="5"/>
  <c r="T61" i="5" s="1"/>
  <c r="C61" i="10" s="1"/>
  <c r="O62" i="5"/>
  <c r="Z62" i="5" s="1"/>
  <c r="W62" i="10" s="1"/>
  <c r="O63" i="5"/>
  <c r="Z63" i="5" s="1"/>
  <c r="W63" i="10" s="1"/>
  <c r="O64" i="5"/>
  <c r="Z64" i="5" s="1"/>
  <c r="W64" i="10" s="1"/>
  <c r="N5" i="5"/>
  <c r="Y5" i="5" s="1"/>
  <c r="N6" i="5"/>
  <c r="Y6" i="5" s="1"/>
  <c r="N7" i="5"/>
  <c r="S7" i="5" s="1"/>
  <c r="N8" i="5"/>
  <c r="S8" i="5" s="1"/>
  <c r="N9" i="5"/>
  <c r="S9" i="5" s="1"/>
  <c r="N10" i="5"/>
  <c r="Y10" i="5" s="1"/>
  <c r="N11" i="5"/>
  <c r="Y11" i="5" s="1"/>
  <c r="N12" i="5"/>
  <c r="Y12" i="5" s="1"/>
  <c r="N13" i="5"/>
  <c r="Y13" i="5" s="1"/>
  <c r="N14" i="5"/>
  <c r="Y14" i="5" s="1"/>
  <c r="N15" i="5"/>
  <c r="S15" i="5" s="1"/>
  <c r="N16" i="5"/>
  <c r="S16" i="5" s="1"/>
  <c r="N17" i="5"/>
  <c r="S17" i="5" s="1"/>
  <c r="N20" i="5"/>
  <c r="Y20" i="5" s="1"/>
  <c r="V20" i="10" s="1"/>
  <c r="N21" i="5"/>
  <c r="Y21" i="5" s="1"/>
  <c r="V21" i="10" s="1"/>
  <c r="N22" i="5"/>
  <c r="Y22" i="5" s="1"/>
  <c r="V22" i="10" s="1"/>
  <c r="N23" i="5"/>
  <c r="S23" i="5" s="1"/>
  <c r="B23" i="10" s="1"/>
  <c r="N24" i="5"/>
  <c r="Y24" i="5" s="1"/>
  <c r="V24" i="10" s="1"/>
  <c r="N25" i="5"/>
  <c r="S25" i="5" s="1"/>
  <c r="B25" i="10" s="1"/>
  <c r="N27" i="5"/>
  <c r="Y27" i="5" s="1"/>
  <c r="N28" i="5"/>
  <c r="Y28" i="5" s="1"/>
  <c r="N29" i="5"/>
  <c r="Y29" i="5" s="1"/>
  <c r="N30" i="5"/>
  <c r="Y30" i="5" s="1"/>
  <c r="N31" i="5"/>
  <c r="S31" i="5" s="1"/>
  <c r="B31" i="10" s="1"/>
  <c r="N33" i="5"/>
  <c r="S33" i="5" s="1"/>
  <c r="B33" i="10" s="1"/>
  <c r="N34" i="5"/>
  <c r="Y34" i="5" s="1"/>
  <c r="N36" i="5"/>
  <c r="Y36" i="5" s="1"/>
  <c r="N37" i="5"/>
  <c r="Y37" i="5" s="1"/>
  <c r="N39" i="5"/>
  <c r="S39" i="5" s="1"/>
  <c r="B39" i="10" s="1"/>
  <c r="N40" i="5"/>
  <c r="Y40" i="5" s="1"/>
  <c r="N41" i="5"/>
  <c r="Y41" i="5" s="1"/>
  <c r="V41" i="10" s="1"/>
  <c r="N43" i="5"/>
  <c r="S43" i="5" s="1"/>
  <c r="N44" i="5"/>
  <c r="S44" i="5" s="1"/>
  <c r="N45" i="5"/>
  <c r="S45" i="5" s="1"/>
  <c r="N47" i="5"/>
  <c r="S47" i="5" s="1"/>
  <c r="N48" i="5"/>
  <c r="S48" i="5" s="1"/>
  <c r="N49" i="5"/>
  <c r="S49" i="5" s="1"/>
  <c r="N51" i="5"/>
  <c r="S51" i="5" s="1"/>
  <c r="N52" i="5"/>
  <c r="S52" i="5" s="1"/>
  <c r="N53" i="5"/>
  <c r="S53" i="5" s="1"/>
  <c r="N55" i="5"/>
  <c r="S55" i="5" s="1"/>
  <c r="N56" i="5"/>
  <c r="S56" i="5" s="1"/>
  <c r="N57" i="5"/>
  <c r="S57" i="5" s="1"/>
  <c r="N58" i="5"/>
  <c r="Y58" i="5" s="1"/>
  <c r="N60" i="5"/>
  <c r="S60" i="5" s="1"/>
  <c r="N61" i="5"/>
  <c r="S61" i="5" s="1"/>
  <c r="N62" i="5"/>
  <c r="S62" i="5" s="1"/>
  <c r="N63" i="5"/>
  <c r="S63" i="5" s="1"/>
  <c r="N64" i="5"/>
  <c r="S64" i="5" s="1"/>
  <c r="N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AH18" i="5" s="1"/>
  <c r="L19" i="5"/>
  <c r="Q19" i="5" s="1"/>
  <c r="AB19" i="5" s="1"/>
  <c r="Y19" i="10" s="1"/>
  <c r="L20" i="5"/>
  <c r="L21" i="5"/>
  <c r="L22" i="5"/>
  <c r="L23" i="5"/>
  <c r="L24" i="5"/>
  <c r="L25" i="5"/>
  <c r="L26" i="5"/>
  <c r="Q26" i="5" s="1"/>
  <c r="AB26" i="5" s="1"/>
  <c r="Y26" i="10" s="1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Q54" i="5" s="1"/>
  <c r="V54" i="5" s="1"/>
  <c r="E54" i="10" s="1"/>
  <c r="E54" i="12" s="1"/>
  <c r="AY54" i="12" s="1"/>
  <c r="L55" i="5"/>
  <c r="AH55" i="5" s="1"/>
  <c r="L56" i="5"/>
  <c r="L57" i="5"/>
  <c r="L58" i="5"/>
  <c r="L59" i="5"/>
  <c r="Q59" i="5" s="1"/>
  <c r="AB59" i="5" s="1"/>
  <c r="Y59" i="10" s="1"/>
  <c r="L60" i="5"/>
  <c r="L61" i="5"/>
  <c r="L62" i="5"/>
  <c r="L63" i="5"/>
  <c r="L64" i="5"/>
  <c r="K5" i="5"/>
  <c r="K6" i="5"/>
  <c r="K7" i="5"/>
  <c r="K9" i="5"/>
  <c r="K10" i="5"/>
  <c r="K11" i="5"/>
  <c r="K12" i="5"/>
  <c r="K13" i="5"/>
  <c r="K14" i="5"/>
  <c r="K15" i="5"/>
  <c r="K16" i="5"/>
  <c r="K17" i="5"/>
  <c r="K18" i="5"/>
  <c r="P18" i="5" s="1"/>
  <c r="U18" i="5" s="1"/>
  <c r="D18" i="10" s="1"/>
  <c r="K19" i="5"/>
  <c r="P19" i="5" s="1"/>
  <c r="U19" i="5" s="1"/>
  <c r="D19" i="10" s="1"/>
  <c r="K20" i="5"/>
  <c r="K21" i="5"/>
  <c r="K22" i="5"/>
  <c r="K23" i="5"/>
  <c r="K24" i="5"/>
  <c r="K25" i="5"/>
  <c r="K26" i="5"/>
  <c r="P26" i="5" s="1"/>
  <c r="U26" i="5" s="1"/>
  <c r="D26" i="10" s="1"/>
  <c r="K27" i="5"/>
  <c r="K28" i="5"/>
  <c r="K29" i="5"/>
  <c r="K30" i="5"/>
  <c r="K31" i="5"/>
  <c r="K32" i="5"/>
  <c r="AG32" i="5" s="1"/>
  <c r="K33" i="5"/>
  <c r="K34" i="5"/>
  <c r="K35" i="5"/>
  <c r="AG35" i="5" s="1"/>
  <c r="K36" i="5"/>
  <c r="K37" i="5"/>
  <c r="K38" i="5"/>
  <c r="AG38" i="5" s="1"/>
  <c r="K39" i="5"/>
  <c r="K40" i="5"/>
  <c r="K41" i="5"/>
  <c r="K42" i="5"/>
  <c r="P42" i="5" s="1"/>
  <c r="U42" i="5" s="1"/>
  <c r="D42" i="10" s="1"/>
  <c r="K43" i="5"/>
  <c r="K44" i="5"/>
  <c r="K45" i="5"/>
  <c r="K46" i="5"/>
  <c r="P46" i="5" s="1"/>
  <c r="AA46" i="5" s="1"/>
  <c r="X46" i="10" s="1"/>
  <c r="K47" i="5"/>
  <c r="P47" i="5" s="1"/>
  <c r="AA47" i="5" s="1"/>
  <c r="X47" i="10" s="1"/>
  <c r="K48" i="5"/>
  <c r="K49" i="5"/>
  <c r="K50" i="5"/>
  <c r="AG50" i="5" s="1"/>
  <c r="K51" i="5"/>
  <c r="K52" i="5"/>
  <c r="K53" i="5"/>
  <c r="K54" i="5"/>
  <c r="P54" i="5" s="1"/>
  <c r="AA54" i="5" s="1"/>
  <c r="X54" i="10" s="1"/>
  <c r="K55" i="5"/>
  <c r="P55" i="5" s="1"/>
  <c r="AA55" i="5" s="1"/>
  <c r="X55" i="10" s="1"/>
  <c r="K56" i="5"/>
  <c r="K57" i="5"/>
  <c r="K58" i="5"/>
  <c r="K59" i="5"/>
  <c r="P59" i="5" s="1"/>
  <c r="U59" i="5" s="1"/>
  <c r="D59" i="10" s="1"/>
  <c r="K60" i="5"/>
  <c r="K61" i="5"/>
  <c r="K62" i="5"/>
  <c r="K63" i="5"/>
  <c r="K64" i="5"/>
  <c r="J55" i="5"/>
  <c r="AF55" i="5" s="1"/>
  <c r="J54" i="5"/>
  <c r="AF54" i="5" s="1"/>
  <c r="J53" i="5"/>
  <c r="J52" i="5"/>
  <c r="J5" i="5"/>
  <c r="J6" i="5"/>
  <c r="J7" i="5"/>
  <c r="J8" i="5"/>
  <c r="J9" i="5"/>
  <c r="AF9" i="5" s="1"/>
  <c r="J10" i="5"/>
  <c r="J12" i="5"/>
  <c r="J13" i="5"/>
  <c r="J14" i="5"/>
  <c r="J15" i="5"/>
  <c r="J16" i="5"/>
  <c r="J17" i="5"/>
  <c r="J19" i="5"/>
  <c r="AF19" i="5" s="1"/>
  <c r="J21" i="5"/>
  <c r="AF21" i="5" s="1"/>
  <c r="AJ21" i="5" s="1"/>
  <c r="J22" i="5"/>
  <c r="AF22" i="5" s="1"/>
  <c r="J23" i="5"/>
  <c r="AF23" i="5" s="1"/>
  <c r="J24" i="5"/>
  <c r="O24" i="5" s="1"/>
  <c r="J25" i="5"/>
  <c r="AF25" i="5" s="1"/>
  <c r="J26" i="5"/>
  <c r="O26" i="5" s="1"/>
  <c r="T26" i="5" s="1"/>
  <c r="C26" i="10" s="1"/>
  <c r="J27" i="5"/>
  <c r="J28" i="5"/>
  <c r="J29" i="5"/>
  <c r="J30" i="5"/>
  <c r="J31" i="5"/>
  <c r="J32" i="5"/>
  <c r="O32" i="5" s="1"/>
  <c r="Z32" i="5" s="1"/>
  <c r="W32" i="10" s="1"/>
  <c r="J33" i="5"/>
  <c r="J34" i="5"/>
  <c r="J35" i="5"/>
  <c r="AF35" i="5" s="1"/>
  <c r="J36" i="5"/>
  <c r="J37" i="5"/>
  <c r="J38" i="5"/>
  <c r="AF38" i="5" s="1"/>
  <c r="J39" i="5"/>
  <c r="J40" i="5"/>
  <c r="J41" i="5"/>
  <c r="J42" i="5"/>
  <c r="O42" i="5" s="1"/>
  <c r="Z42" i="5" s="1"/>
  <c r="W42" i="10" s="1"/>
  <c r="J43" i="5"/>
  <c r="J44" i="5"/>
  <c r="J45" i="5"/>
  <c r="J46" i="5"/>
  <c r="O46" i="5" s="1"/>
  <c r="Z46" i="5" s="1"/>
  <c r="W46" i="10" s="1"/>
  <c r="J47" i="5"/>
  <c r="O47" i="5" s="1"/>
  <c r="Z47" i="5" s="1"/>
  <c r="W47" i="10" s="1"/>
  <c r="J48" i="5"/>
  <c r="J49" i="5"/>
  <c r="J50" i="5"/>
  <c r="AF50" i="5" s="1"/>
  <c r="J51" i="5"/>
  <c r="J56" i="5"/>
  <c r="J57" i="5"/>
  <c r="J58" i="5"/>
  <c r="J59" i="5"/>
  <c r="O59" i="5" s="1"/>
  <c r="Z59" i="5" s="1"/>
  <c r="W59" i="10" s="1"/>
  <c r="J60" i="5"/>
  <c r="J61" i="5"/>
  <c r="J62" i="5"/>
  <c r="J63" i="5"/>
  <c r="J64" i="5"/>
  <c r="I10" i="5"/>
  <c r="I11" i="5"/>
  <c r="I12" i="5"/>
  <c r="I13" i="5"/>
  <c r="I14" i="5"/>
  <c r="I15" i="5"/>
  <c r="I16" i="5"/>
  <c r="I17" i="5"/>
  <c r="I18" i="5"/>
  <c r="N18" i="5" s="1"/>
  <c r="Y18" i="5" s="1"/>
  <c r="I19" i="5"/>
  <c r="N19" i="5" s="1"/>
  <c r="Y19" i="5" s="1"/>
  <c r="I20" i="5"/>
  <c r="I21" i="5"/>
  <c r="I22" i="5"/>
  <c r="I23" i="5"/>
  <c r="I24" i="5"/>
  <c r="I25" i="5"/>
  <c r="I26" i="5"/>
  <c r="AE26" i="5" s="1"/>
  <c r="I27" i="5"/>
  <c r="I28" i="5"/>
  <c r="I29" i="5"/>
  <c r="I30" i="5"/>
  <c r="I31" i="5"/>
  <c r="I32" i="5"/>
  <c r="N32" i="5" s="1"/>
  <c r="Y32" i="5" s="1"/>
  <c r="I33" i="5"/>
  <c r="I34" i="5"/>
  <c r="I35" i="5"/>
  <c r="N35" i="5" s="1"/>
  <c r="Y35" i="5" s="1"/>
  <c r="I36" i="5"/>
  <c r="I37" i="5"/>
  <c r="I38" i="5"/>
  <c r="AE38" i="5" s="1"/>
  <c r="I39" i="5"/>
  <c r="I40" i="5"/>
  <c r="I41" i="5"/>
  <c r="I42" i="5"/>
  <c r="N42" i="5" s="1"/>
  <c r="S42" i="5" s="1"/>
  <c r="B42" i="10" s="1"/>
  <c r="I43" i="5"/>
  <c r="I44" i="5"/>
  <c r="I45" i="5"/>
  <c r="I46" i="5"/>
  <c r="N46" i="5" s="1"/>
  <c r="S46" i="5" s="1"/>
  <c r="I47" i="5"/>
  <c r="AE47" i="5" s="1"/>
  <c r="I48" i="5"/>
  <c r="I49" i="5"/>
  <c r="I50" i="5"/>
  <c r="AE50" i="5" s="1"/>
  <c r="AJ50" i="5" s="1"/>
  <c r="I51" i="5"/>
  <c r="I52" i="5"/>
  <c r="I53" i="5"/>
  <c r="I54" i="5"/>
  <c r="AE54" i="5" s="1"/>
  <c r="I55" i="5"/>
  <c r="AE55" i="5" s="1"/>
  <c r="I56" i="5"/>
  <c r="I57" i="5"/>
  <c r="I58" i="5"/>
  <c r="I59" i="5"/>
  <c r="AE59" i="5" s="1"/>
  <c r="I60" i="5"/>
  <c r="I61" i="5"/>
  <c r="I62" i="5"/>
  <c r="I63" i="5"/>
  <c r="I64" i="5"/>
  <c r="I5" i="5"/>
  <c r="I6" i="5"/>
  <c r="I7" i="5"/>
  <c r="I8" i="5"/>
  <c r="I9" i="5"/>
  <c r="I4" i="5"/>
  <c r="A64" i="5"/>
  <c r="A61" i="5"/>
  <c r="A62" i="5"/>
  <c r="A63" i="5"/>
  <c r="A52" i="5"/>
  <c r="A53" i="5"/>
  <c r="A54" i="5"/>
  <c r="A55" i="5"/>
  <c r="A56" i="5"/>
  <c r="A57" i="5"/>
  <c r="A58" i="5"/>
  <c r="A59" i="5"/>
  <c r="A60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31" i="5"/>
  <c r="A30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5" i="5"/>
  <c r="A4" i="5"/>
  <c r="K55" i="9"/>
  <c r="L55" i="9"/>
  <c r="M55" i="9"/>
  <c r="N55" i="9"/>
  <c r="J55" i="9"/>
  <c r="L32" i="9"/>
  <c r="M32" i="9"/>
  <c r="L33" i="9"/>
  <c r="M33" i="9"/>
  <c r="K33" i="9"/>
  <c r="K32" i="9"/>
  <c r="K29" i="9"/>
  <c r="L29" i="9"/>
  <c r="M29" i="9"/>
  <c r="J29" i="9"/>
  <c r="L23" i="9"/>
  <c r="M23" i="9"/>
  <c r="K23" i="9"/>
  <c r="K17" i="9"/>
  <c r="L17" i="9"/>
  <c r="M17" i="9"/>
  <c r="L8" i="9"/>
  <c r="M8" i="9"/>
  <c r="O8" i="9" s="1"/>
  <c r="K8" i="9"/>
  <c r="AZ51" i="12" l="1"/>
  <c r="V51" i="12"/>
  <c r="AZ11" i="12"/>
  <c r="V11" i="12"/>
  <c r="AZ57" i="12"/>
  <c r="V57" i="12"/>
  <c r="AZ49" i="12"/>
  <c r="V49" i="12"/>
  <c r="AZ41" i="12"/>
  <c r="V41" i="12"/>
  <c r="AZ33" i="12"/>
  <c r="V33" i="12"/>
  <c r="AZ25" i="12"/>
  <c r="V25" i="12"/>
  <c r="AZ17" i="12"/>
  <c r="V17" i="12"/>
  <c r="AZ35" i="12"/>
  <c r="V35" i="12"/>
  <c r="AZ50" i="12"/>
  <c r="V50" i="12"/>
  <c r="AZ18" i="12"/>
  <c r="V18" i="12"/>
  <c r="AZ43" i="12"/>
  <c r="V43" i="12"/>
  <c r="AZ42" i="12"/>
  <c r="V42" i="12"/>
  <c r="AZ59" i="12"/>
  <c r="V59" i="12"/>
  <c r="AZ27" i="12"/>
  <c r="V27" i="12"/>
  <c r="AZ58" i="12"/>
  <c r="V58" i="12"/>
  <c r="AZ34" i="12"/>
  <c r="V34" i="12"/>
  <c r="AZ19" i="12"/>
  <c r="V19" i="12"/>
  <c r="AZ26" i="12"/>
  <c r="V26" i="12"/>
  <c r="AZ10" i="12"/>
  <c r="AY39" i="12"/>
  <c r="AY30" i="12"/>
  <c r="AY21" i="12"/>
  <c r="O19" i="5"/>
  <c r="T19" i="5" s="1"/>
  <c r="C19" i="10" s="1"/>
  <c r="AG19" i="5"/>
  <c r="AH19" i="5"/>
  <c r="AG18" i="5"/>
  <c r="Q18" i="5"/>
  <c r="AB18" i="5" s="1"/>
  <c r="Y18" i="10" s="1"/>
  <c r="AE19" i="5"/>
  <c r="AE18" i="5"/>
  <c r="AG26" i="5"/>
  <c r="AH26" i="5"/>
  <c r="N26" i="5"/>
  <c r="Y26" i="5" s="1"/>
  <c r="V26" i="10" s="1"/>
  <c r="AE32" i="5"/>
  <c r="P32" i="5"/>
  <c r="AA32" i="5" s="1"/>
  <c r="X32" i="10" s="1"/>
  <c r="P35" i="5"/>
  <c r="U35" i="5" s="1"/>
  <c r="D35" i="10" s="1"/>
  <c r="AJ59" i="5"/>
  <c r="AG59" i="5"/>
  <c r="N59" i="5"/>
  <c r="S59" i="5" s="1"/>
  <c r="AF59" i="5"/>
  <c r="N54" i="5"/>
  <c r="S54" i="5" s="1"/>
  <c r="AG55" i="5"/>
  <c r="AG54" i="5"/>
  <c r="Q55" i="5"/>
  <c r="V55" i="5" s="1"/>
  <c r="E55" i="10" s="1"/>
  <c r="E55" i="12" s="1"/>
  <c r="AY55" i="12" s="1"/>
  <c r="N50" i="5"/>
  <c r="Y50" i="5" s="1"/>
  <c r="P50" i="5"/>
  <c r="U50" i="5" s="1"/>
  <c r="D50" i="10" s="1"/>
  <c r="AJ47" i="5"/>
  <c r="AG47" i="5"/>
  <c r="AF46" i="5"/>
  <c r="AG46" i="5"/>
  <c r="AE42" i="5"/>
  <c r="AJ42" i="5" s="1"/>
  <c r="AF42" i="5"/>
  <c r="AG42" i="5"/>
  <c r="P38" i="5"/>
  <c r="AA38" i="5" s="1"/>
  <c r="X38" i="10" s="1"/>
  <c r="N38" i="5"/>
  <c r="Y38" i="5" s="1"/>
  <c r="O38" i="5"/>
  <c r="Z38" i="5" s="1"/>
  <c r="W38" i="10" s="1"/>
  <c r="O35" i="5"/>
  <c r="T35" i="5" s="1"/>
  <c r="C35" i="10" s="1"/>
  <c r="AF32" i="5"/>
  <c r="AF26" i="5"/>
  <c r="O18" i="5"/>
  <c r="T18" i="5" s="1"/>
  <c r="C18" i="10" s="1"/>
  <c r="AJ19" i="5"/>
  <c r="O9" i="5"/>
  <c r="Z9" i="5" s="1"/>
  <c r="O21" i="5"/>
  <c r="Z21" i="5" s="1"/>
  <c r="AJ12" i="5"/>
  <c r="AJ43" i="5"/>
  <c r="AJ35" i="5"/>
  <c r="AJ27" i="5"/>
  <c r="AB53" i="5"/>
  <c r="Y53" i="10" s="1"/>
  <c r="AJ16" i="5"/>
  <c r="AJ8" i="5"/>
  <c r="AJ22" i="5"/>
  <c r="AJ14" i="5"/>
  <c r="AJ6" i="5"/>
  <c r="U48" i="5"/>
  <c r="D48" i="10" s="1"/>
  <c r="Y7" i="5"/>
  <c r="AJ58" i="5"/>
  <c r="U16" i="5"/>
  <c r="D16" i="10" s="1"/>
  <c r="Z61" i="5"/>
  <c r="W61" i="10" s="1"/>
  <c r="AB47" i="5"/>
  <c r="Y47" i="10" s="1"/>
  <c r="V44" i="5"/>
  <c r="E44" i="10" s="1"/>
  <c r="E44" i="12" s="1"/>
  <c r="AY44" i="12" s="1"/>
  <c r="Z35" i="5"/>
  <c r="W35" i="10" s="1"/>
  <c r="AB21" i="5"/>
  <c r="Y21" i="10" s="1"/>
  <c r="S58" i="5"/>
  <c r="B58" i="10" s="1"/>
  <c r="V12" i="5"/>
  <c r="E12" i="10" s="1"/>
  <c r="E12" i="12" s="1"/>
  <c r="AY12" i="12" s="1"/>
  <c r="Z29" i="5"/>
  <c r="W29" i="10" s="1"/>
  <c r="AB15" i="5"/>
  <c r="Y15" i="10" s="1"/>
  <c r="AJ13" i="5"/>
  <c r="AJ5" i="5"/>
  <c r="T59" i="5"/>
  <c r="C59" i="10" s="1"/>
  <c r="W40" i="5"/>
  <c r="F40" i="10" s="1"/>
  <c r="F40" i="12" s="1"/>
  <c r="AA57" i="5"/>
  <c r="X57" i="10" s="1"/>
  <c r="AC49" i="5"/>
  <c r="Z49" i="10" s="1"/>
  <c r="AJ52" i="5"/>
  <c r="AJ44" i="5"/>
  <c r="AJ36" i="5"/>
  <c r="AJ28" i="5"/>
  <c r="T57" i="5"/>
  <c r="C57" i="10" s="1"/>
  <c r="W8" i="5"/>
  <c r="AA51" i="5"/>
  <c r="X51" i="10" s="1"/>
  <c r="AC43" i="5"/>
  <c r="Z43" i="10" s="1"/>
  <c r="AJ63" i="5"/>
  <c r="T17" i="5"/>
  <c r="C17" i="10" s="1"/>
  <c r="Y39" i="5"/>
  <c r="V39" i="10" s="1"/>
  <c r="AA25" i="5"/>
  <c r="X25" i="10" s="1"/>
  <c r="AC17" i="5"/>
  <c r="Z17" i="10" s="1"/>
  <c r="T15" i="5"/>
  <c r="C15" i="10" s="1"/>
  <c r="Y33" i="5"/>
  <c r="V33" i="10" s="1"/>
  <c r="AA19" i="5"/>
  <c r="X19" i="10" s="1"/>
  <c r="AC11" i="5"/>
  <c r="Z11" i="10" s="1"/>
  <c r="AJ10" i="5"/>
  <c r="AJ39" i="5"/>
  <c r="AJ55" i="5"/>
  <c r="S41" i="5"/>
  <c r="B41" i="10" s="1"/>
  <c r="T51" i="5"/>
  <c r="C51" i="10" s="1"/>
  <c r="T9" i="5"/>
  <c r="U40" i="5"/>
  <c r="D40" i="10" s="1"/>
  <c r="U8" i="5"/>
  <c r="V36" i="5"/>
  <c r="E36" i="10" s="1"/>
  <c r="E36" i="12" s="1"/>
  <c r="AY36" i="12" s="1"/>
  <c r="W64" i="5"/>
  <c r="F64" i="10" s="1"/>
  <c r="F64" i="12" s="1"/>
  <c r="W32" i="5"/>
  <c r="F32" i="10" s="1"/>
  <c r="F32" i="12" s="1"/>
  <c r="Y63" i="5"/>
  <c r="V63" i="10" s="1"/>
  <c r="Y31" i="5"/>
  <c r="V31" i="10" s="1"/>
  <c r="Z27" i="5"/>
  <c r="W27" i="10" s="1"/>
  <c r="AA49" i="5"/>
  <c r="X49" i="10" s="1"/>
  <c r="AA17" i="5"/>
  <c r="X17" i="10" s="1"/>
  <c r="AB45" i="5"/>
  <c r="Y45" i="10" s="1"/>
  <c r="AB13" i="5"/>
  <c r="Y13" i="10" s="1"/>
  <c r="AC41" i="5"/>
  <c r="Z41" i="10" s="1"/>
  <c r="AC9" i="5"/>
  <c r="AJ17" i="5"/>
  <c r="AJ9" i="5"/>
  <c r="U46" i="5"/>
  <c r="D46" i="10" s="1"/>
  <c r="U14" i="5"/>
  <c r="D14" i="10" s="1"/>
  <c r="V42" i="5"/>
  <c r="E42" i="10" s="1"/>
  <c r="E42" i="12" s="1"/>
  <c r="AY42" i="12" s="1"/>
  <c r="V10" i="5"/>
  <c r="E10" i="10" s="1"/>
  <c r="E10" i="12" s="1"/>
  <c r="W38" i="5"/>
  <c r="F38" i="10" s="1"/>
  <c r="F38" i="12" s="1"/>
  <c r="W6" i="5"/>
  <c r="S22" i="5"/>
  <c r="B22" i="10" s="1"/>
  <c r="T49" i="5"/>
  <c r="C49" i="10" s="1"/>
  <c r="T7" i="5"/>
  <c r="U38" i="5"/>
  <c r="D38" i="10" s="1"/>
  <c r="U6" i="5"/>
  <c r="V34" i="5"/>
  <c r="E34" i="10" s="1"/>
  <c r="E34" i="12" s="1"/>
  <c r="AY34" i="12" s="1"/>
  <c r="W62" i="5"/>
  <c r="F62" i="10" s="1"/>
  <c r="F62" i="12" s="1"/>
  <c r="W30" i="5"/>
  <c r="F30" i="10" s="1"/>
  <c r="F30" i="12" s="1"/>
  <c r="V30" i="12" s="1"/>
  <c r="Y57" i="5"/>
  <c r="V57" i="10" s="1"/>
  <c r="Y25" i="5"/>
  <c r="V25" i="10" s="1"/>
  <c r="Z53" i="5"/>
  <c r="W53" i="10" s="1"/>
  <c r="AA43" i="5"/>
  <c r="X43" i="10" s="1"/>
  <c r="AA11" i="5"/>
  <c r="X11" i="10" s="1"/>
  <c r="AB39" i="5"/>
  <c r="Y39" i="10" s="1"/>
  <c r="AB7" i="5"/>
  <c r="AD7" i="5" s="1"/>
  <c r="AC35" i="5"/>
  <c r="Z35" i="10" s="1"/>
  <c r="AJ48" i="5"/>
  <c r="AJ40" i="5"/>
  <c r="AJ32" i="5"/>
  <c r="S20" i="5"/>
  <c r="B20" i="10" s="1"/>
  <c r="T43" i="5"/>
  <c r="C43" i="10" s="1"/>
  <c r="U64" i="5"/>
  <c r="D64" i="10" s="1"/>
  <c r="U32" i="5"/>
  <c r="D32" i="10" s="1"/>
  <c r="V60" i="5"/>
  <c r="E60" i="10" s="1"/>
  <c r="E60" i="12" s="1"/>
  <c r="AY60" i="12" s="1"/>
  <c r="V28" i="5"/>
  <c r="E28" i="10" s="1"/>
  <c r="E28" i="12" s="1"/>
  <c r="AY28" i="12" s="1"/>
  <c r="W56" i="5"/>
  <c r="F56" i="10" s="1"/>
  <c r="F56" i="12" s="1"/>
  <c r="V56" i="12" s="1"/>
  <c r="W24" i="5"/>
  <c r="F24" i="10" s="1"/>
  <c r="F24" i="12" s="1"/>
  <c r="Y55" i="5"/>
  <c r="V55" i="10" s="1"/>
  <c r="Y23" i="5"/>
  <c r="V23" i="10" s="1"/>
  <c r="Z13" i="5"/>
  <c r="W13" i="10" s="1"/>
  <c r="AA41" i="5"/>
  <c r="X41" i="10" s="1"/>
  <c r="F41" i="6" s="1"/>
  <c r="AA9" i="5"/>
  <c r="AB37" i="5"/>
  <c r="Y37" i="10" s="1"/>
  <c r="AB5" i="5"/>
  <c r="AC33" i="5"/>
  <c r="Z33" i="10" s="1"/>
  <c r="AJ15" i="5"/>
  <c r="AJ7" i="5"/>
  <c r="S50" i="5"/>
  <c r="B50" i="10" s="1"/>
  <c r="S14" i="5"/>
  <c r="B14" i="10" s="1"/>
  <c r="T41" i="5"/>
  <c r="C41" i="10" s="1"/>
  <c r="U62" i="5"/>
  <c r="D62" i="10" s="1"/>
  <c r="U30" i="5"/>
  <c r="D30" i="10" s="1"/>
  <c r="V58" i="5"/>
  <c r="E58" i="10" s="1"/>
  <c r="E58" i="12" s="1"/>
  <c r="AY58" i="12" s="1"/>
  <c r="V26" i="5"/>
  <c r="E26" i="10" s="1"/>
  <c r="E26" i="12" s="1"/>
  <c r="AY26" i="12" s="1"/>
  <c r="W54" i="5"/>
  <c r="F54" i="10" s="1"/>
  <c r="F54" i="12" s="1"/>
  <c r="W22" i="5"/>
  <c r="F22" i="10" s="1"/>
  <c r="F22" i="12" s="1"/>
  <c r="Y49" i="5"/>
  <c r="V49" i="10" s="1"/>
  <c r="Y17" i="5"/>
  <c r="V17" i="10" s="1"/>
  <c r="Z45" i="5"/>
  <c r="W45" i="10" s="1"/>
  <c r="AA35" i="5"/>
  <c r="X35" i="10" s="1"/>
  <c r="AB63" i="5"/>
  <c r="Y63" i="10" s="1"/>
  <c r="AB31" i="5"/>
  <c r="Y31" i="10" s="1"/>
  <c r="AC59" i="5"/>
  <c r="Z59" i="10" s="1"/>
  <c r="AC27" i="5"/>
  <c r="Z27" i="10" s="1"/>
  <c r="AJ62" i="5"/>
  <c r="AJ54" i="5"/>
  <c r="AJ46" i="5"/>
  <c r="AJ38" i="5"/>
  <c r="S12" i="5"/>
  <c r="B12" i="10" s="1"/>
  <c r="T32" i="5"/>
  <c r="C32" i="10" s="1"/>
  <c r="U56" i="5"/>
  <c r="D56" i="10" s="1"/>
  <c r="U24" i="5"/>
  <c r="D24" i="10" s="1"/>
  <c r="V52" i="5"/>
  <c r="E52" i="10" s="1"/>
  <c r="E52" i="12" s="1"/>
  <c r="AY52" i="12" s="1"/>
  <c r="V20" i="5"/>
  <c r="E20" i="10" s="1"/>
  <c r="E20" i="12" s="1"/>
  <c r="AY20" i="12" s="1"/>
  <c r="W48" i="5"/>
  <c r="F48" i="10" s="1"/>
  <c r="F48" i="12" s="1"/>
  <c r="W16" i="5"/>
  <c r="F16" i="10" s="1"/>
  <c r="F16" i="12" s="1"/>
  <c r="Y47" i="5"/>
  <c r="V47" i="10" s="1"/>
  <c r="Y15" i="5"/>
  <c r="V15" i="10" s="1"/>
  <c r="Z5" i="5"/>
  <c r="AA33" i="5"/>
  <c r="X33" i="10" s="1"/>
  <c r="AB61" i="5"/>
  <c r="Y61" i="10" s="1"/>
  <c r="AB29" i="5"/>
  <c r="Y29" i="10" s="1"/>
  <c r="AC57" i="5"/>
  <c r="Z57" i="10" s="1"/>
  <c r="AC25" i="5"/>
  <c r="Z25" i="10" s="1"/>
  <c r="AJ61" i="5"/>
  <c r="AJ53" i="5"/>
  <c r="AJ45" i="5"/>
  <c r="AJ37" i="5"/>
  <c r="AJ29" i="5"/>
  <c r="S6" i="5"/>
  <c r="T30" i="5"/>
  <c r="C30" i="10" s="1"/>
  <c r="U54" i="5"/>
  <c r="D54" i="10" s="1"/>
  <c r="U22" i="5"/>
  <c r="D22" i="10" s="1"/>
  <c r="V50" i="5"/>
  <c r="E50" i="10" s="1"/>
  <c r="E50" i="12" s="1"/>
  <c r="AY50" i="12" s="1"/>
  <c r="V18" i="5"/>
  <c r="E18" i="10" s="1"/>
  <c r="E18" i="12" s="1"/>
  <c r="AY18" i="12" s="1"/>
  <c r="W46" i="5"/>
  <c r="F46" i="10" s="1"/>
  <c r="F46" i="12" s="1"/>
  <c r="W14" i="5"/>
  <c r="F14" i="10" s="1"/>
  <c r="F14" i="12" s="1"/>
  <c r="Y9" i="5"/>
  <c r="Z37" i="5"/>
  <c r="W37" i="10" s="1"/>
  <c r="AA59" i="5"/>
  <c r="X59" i="10" s="1"/>
  <c r="AA27" i="5"/>
  <c r="X27" i="10" s="1"/>
  <c r="AB55" i="5"/>
  <c r="Y55" i="10" s="1"/>
  <c r="F55" i="6" s="1"/>
  <c r="AB23" i="5"/>
  <c r="Y23" i="10" s="1"/>
  <c r="AC51" i="5"/>
  <c r="Z51" i="10" s="1"/>
  <c r="AC19" i="5"/>
  <c r="Z19" i="10" s="1"/>
  <c r="AJ60" i="5"/>
  <c r="AJ49" i="5"/>
  <c r="AJ41" i="5"/>
  <c r="AJ33" i="5"/>
  <c r="V58" i="10"/>
  <c r="V50" i="10"/>
  <c r="V34" i="10"/>
  <c r="V18" i="10"/>
  <c r="V10" i="10"/>
  <c r="B57" i="10"/>
  <c r="B49" i="10"/>
  <c r="B64" i="10"/>
  <c r="B63" i="10"/>
  <c r="B55" i="10"/>
  <c r="B47" i="10"/>
  <c r="B15" i="10"/>
  <c r="B54" i="10"/>
  <c r="B46" i="10"/>
  <c r="V38" i="10"/>
  <c r="V30" i="10"/>
  <c r="V14" i="10"/>
  <c r="B51" i="10"/>
  <c r="V19" i="10"/>
  <c r="B56" i="10"/>
  <c r="B48" i="10"/>
  <c r="V40" i="10"/>
  <c r="F40" i="6" s="1"/>
  <c r="AD40" i="5"/>
  <c r="V32" i="10"/>
  <c r="AD32" i="5"/>
  <c r="B16" i="10"/>
  <c r="B61" i="10"/>
  <c r="B53" i="10"/>
  <c r="V37" i="10"/>
  <c r="V29" i="10"/>
  <c r="V13" i="10"/>
  <c r="B59" i="10"/>
  <c r="B43" i="10"/>
  <c r="V35" i="10"/>
  <c r="V27" i="10"/>
  <c r="V11" i="10"/>
  <c r="B17" i="10"/>
  <c r="B62" i="10"/>
  <c r="B45" i="10"/>
  <c r="B60" i="10"/>
  <c r="B52" i="10"/>
  <c r="B44" i="10"/>
  <c r="V36" i="10"/>
  <c r="V28" i="10"/>
  <c r="V12" i="10"/>
  <c r="AD63" i="5"/>
  <c r="AJ25" i="5"/>
  <c r="S21" i="5"/>
  <c r="B21" i="10" s="1"/>
  <c r="S13" i="5"/>
  <c r="S5" i="5"/>
  <c r="S40" i="5"/>
  <c r="S32" i="5"/>
  <c r="S24" i="5"/>
  <c r="B24" i="10" s="1"/>
  <c r="T58" i="5"/>
  <c r="C58" i="10" s="1"/>
  <c r="T50" i="5"/>
  <c r="C50" i="10" s="1"/>
  <c r="T42" i="5"/>
  <c r="T31" i="5"/>
  <c r="C31" i="10" s="1"/>
  <c r="T16" i="5"/>
  <c r="C16" i="10" s="1"/>
  <c r="T8" i="5"/>
  <c r="U63" i="5"/>
  <c r="D63" i="10" s="1"/>
  <c r="U55" i="5"/>
  <c r="D55" i="10" s="1"/>
  <c r="U47" i="5"/>
  <c r="D47" i="10" s="1"/>
  <c r="U39" i="5"/>
  <c r="D39" i="10" s="1"/>
  <c r="U31" i="5"/>
  <c r="D31" i="10" s="1"/>
  <c r="U23" i="5"/>
  <c r="D23" i="10" s="1"/>
  <c r="U15" i="5"/>
  <c r="D15" i="10" s="1"/>
  <c r="U7" i="5"/>
  <c r="V59" i="5"/>
  <c r="E59" i="10" s="1"/>
  <c r="E59" i="12" s="1"/>
  <c r="AY59" i="12" s="1"/>
  <c r="V51" i="5"/>
  <c r="E51" i="10" s="1"/>
  <c r="E51" i="12" s="1"/>
  <c r="AY51" i="12" s="1"/>
  <c r="V43" i="5"/>
  <c r="E43" i="10" s="1"/>
  <c r="E43" i="12" s="1"/>
  <c r="AY43" i="12" s="1"/>
  <c r="V35" i="5"/>
  <c r="E35" i="10" s="1"/>
  <c r="E35" i="12" s="1"/>
  <c r="AY35" i="12" s="1"/>
  <c r="V27" i="5"/>
  <c r="E27" i="10" s="1"/>
  <c r="E27" i="12" s="1"/>
  <c r="AY27" i="12" s="1"/>
  <c r="V19" i="5"/>
  <c r="E19" i="10" s="1"/>
  <c r="E19" i="12" s="1"/>
  <c r="AY19" i="12" s="1"/>
  <c r="V11" i="5"/>
  <c r="E11" i="10" s="1"/>
  <c r="E11" i="12" s="1"/>
  <c r="AY11" i="12" s="1"/>
  <c r="W63" i="5"/>
  <c r="F63" i="10" s="1"/>
  <c r="F63" i="12" s="1"/>
  <c r="W55" i="5"/>
  <c r="F55" i="10" s="1"/>
  <c r="F55" i="12" s="1"/>
  <c r="W47" i="5"/>
  <c r="F47" i="10" s="1"/>
  <c r="F47" i="12" s="1"/>
  <c r="V47" i="12" s="1"/>
  <c r="W39" i="5"/>
  <c r="F39" i="10" s="1"/>
  <c r="F39" i="12" s="1"/>
  <c r="V39" i="12" s="1"/>
  <c r="W31" i="5"/>
  <c r="F31" i="10" s="1"/>
  <c r="F31" i="12" s="1"/>
  <c r="W23" i="5"/>
  <c r="F23" i="10" s="1"/>
  <c r="F23" i="12" s="1"/>
  <c r="W15" i="5"/>
  <c r="F15" i="10" s="1"/>
  <c r="F15" i="12" s="1"/>
  <c r="W7" i="5"/>
  <c r="Y64" i="5"/>
  <c r="Y56" i="5"/>
  <c r="Y48" i="5"/>
  <c r="Y16" i="5"/>
  <c r="Y8" i="5"/>
  <c r="AD8" i="5" s="1"/>
  <c r="Z60" i="5"/>
  <c r="W60" i="10" s="1"/>
  <c r="Z52" i="5"/>
  <c r="W52" i="10" s="1"/>
  <c r="Z44" i="5"/>
  <c r="W44" i="10" s="1"/>
  <c r="Z36" i="5"/>
  <c r="W36" i="10" s="1"/>
  <c r="Z28" i="5"/>
  <c r="W28" i="10" s="1"/>
  <c r="Z14" i="5"/>
  <c r="W14" i="10" s="1"/>
  <c r="Z6" i="5"/>
  <c r="AA58" i="5"/>
  <c r="X58" i="10" s="1"/>
  <c r="AA42" i="5"/>
  <c r="X42" i="10" s="1"/>
  <c r="AA34" i="5"/>
  <c r="X34" i="10" s="1"/>
  <c r="AA26" i="5"/>
  <c r="X26" i="10" s="1"/>
  <c r="AA18" i="5"/>
  <c r="X18" i="10" s="1"/>
  <c r="AA10" i="5"/>
  <c r="X10" i="10" s="1"/>
  <c r="AB62" i="5"/>
  <c r="Y62" i="10" s="1"/>
  <c r="AB54" i="5"/>
  <c r="Y54" i="10" s="1"/>
  <c r="AB46" i="5"/>
  <c r="Y46" i="10" s="1"/>
  <c r="AB38" i="5"/>
  <c r="Y38" i="10" s="1"/>
  <c r="AB30" i="5"/>
  <c r="Y30" i="10" s="1"/>
  <c r="AB22" i="5"/>
  <c r="Y22" i="10" s="1"/>
  <c r="AB14" i="5"/>
  <c r="Y14" i="10" s="1"/>
  <c r="AB6" i="5"/>
  <c r="AC58" i="5"/>
  <c r="Z58" i="10" s="1"/>
  <c r="AC50" i="5"/>
  <c r="Z50" i="10" s="1"/>
  <c r="AC42" i="5"/>
  <c r="Z42" i="10" s="1"/>
  <c r="AC34" i="5"/>
  <c r="Z34" i="10" s="1"/>
  <c r="AC26" i="5"/>
  <c r="Z26" i="10" s="1"/>
  <c r="AC18" i="5"/>
  <c r="Z18" i="10" s="1"/>
  <c r="AC10" i="5"/>
  <c r="Z10" i="10" s="1"/>
  <c r="AJ23" i="5"/>
  <c r="S19" i="5"/>
  <c r="S11" i="5"/>
  <c r="S38" i="5"/>
  <c r="S30" i="5"/>
  <c r="T64" i="5"/>
  <c r="C64" i="10" s="1"/>
  <c r="T56" i="5"/>
  <c r="C56" i="10" s="1"/>
  <c r="T48" i="5"/>
  <c r="C48" i="10" s="1"/>
  <c r="T40" i="5"/>
  <c r="C40" i="10" s="1"/>
  <c r="U61" i="5"/>
  <c r="D61" i="10" s="1"/>
  <c r="U53" i="5"/>
  <c r="D53" i="10" s="1"/>
  <c r="U45" i="5"/>
  <c r="D45" i="10" s="1"/>
  <c r="U37" i="5"/>
  <c r="D37" i="10" s="1"/>
  <c r="U29" i="5"/>
  <c r="D29" i="10" s="1"/>
  <c r="U21" i="5"/>
  <c r="D21" i="10" s="1"/>
  <c r="U13" i="5"/>
  <c r="D13" i="10" s="1"/>
  <c r="U5" i="5"/>
  <c r="V57" i="5"/>
  <c r="E57" i="10" s="1"/>
  <c r="E57" i="12" s="1"/>
  <c r="AY57" i="12" s="1"/>
  <c r="V49" i="5"/>
  <c r="E49" i="10" s="1"/>
  <c r="E49" i="12" s="1"/>
  <c r="AY49" i="12" s="1"/>
  <c r="V41" i="5"/>
  <c r="E41" i="10" s="1"/>
  <c r="E41" i="12" s="1"/>
  <c r="AY41" i="12" s="1"/>
  <c r="V33" i="5"/>
  <c r="E33" i="10" s="1"/>
  <c r="V25" i="5"/>
  <c r="E25" i="10" s="1"/>
  <c r="E25" i="12" s="1"/>
  <c r="AY25" i="12" s="1"/>
  <c r="V17" i="5"/>
  <c r="E17" i="10" s="1"/>
  <c r="E17" i="12" s="1"/>
  <c r="AY17" i="12" s="1"/>
  <c r="V9" i="5"/>
  <c r="W61" i="5"/>
  <c r="F61" i="10" s="1"/>
  <c r="F61" i="12" s="1"/>
  <c r="W53" i="5"/>
  <c r="F53" i="10" s="1"/>
  <c r="F53" i="12" s="1"/>
  <c r="W45" i="5"/>
  <c r="F45" i="10" s="1"/>
  <c r="F45" i="12" s="1"/>
  <c r="W37" i="5"/>
  <c r="F37" i="10" s="1"/>
  <c r="F37" i="12" s="1"/>
  <c r="W29" i="5"/>
  <c r="F29" i="10" s="1"/>
  <c r="F29" i="12" s="1"/>
  <c r="W21" i="5"/>
  <c r="F21" i="10" s="1"/>
  <c r="F21" i="12" s="1"/>
  <c r="V21" i="12" s="1"/>
  <c r="W13" i="5"/>
  <c r="F13" i="10" s="1"/>
  <c r="F13" i="12" s="1"/>
  <c r="W5" i="5"/>
  <c r="Y62" i="5"/>
  <c r="Y54" i="5"/>
  <c r="Y46" i="5"/>
  <c r="Z34" i="5"/>
  <c r="W34" i="10" s="1"/>
  <c r="Z20" i="5"/>
  <c r="W20" i="10" s="1"/>
  <c r="F20" i="6" s="1"/>
  <c r="Z12" i="5"/>
  <c r="W12" i="10" s="1"/>
  <c r="S18" i="5"/>
  <c r="S10" i="5"/>
  <c r="S37" i="5"/>
  <c r="S29" i="5"/>
  <c r="T63" i="5"/>
  <c r="C63" i="10" s="1"/>
  <c r="T55" i="5"/>
  <c r="C55" i="10" s="1"/>
  <c r="T47" i="5"/>
  <c r="C47" i="10" s="1"/>
  <c r="T38" i="5"/>
  <c r="C38" i="10" s="1"/>
  <c r="U60" i="5"/>
  <c r="D60" i="10" s="1"/>
  <c r="U52" i="5"/>
  <c r="D52" i="10" s="1"/>
  <c r="U44" i="5"/>
  <c r="D44" i="10" s="1"/>
  <c r="U36" i="5"/>
  <c r="D36" i="10" s="1"/>
  <c r="U28" i="5"/>
  <c r="D28" i="10" s="1"/>
  <c r="U20" i="5"/>
  <c r="D20" i="10" s="1"/>
  <c r="U12" i="5"/>
  <c r="D12" i="10" s="1"/>
  <c r="V64" i="5"/>
  <c r="E64" i="10" s="1"/>
  <c r="E64" i="12" s="1"/>
  <c r="AY64" i="12" s="1"/>
  <c r="V56" i="5"/>
  <c r="E56" i="10" s="1"/>
  <c r="E56" i="12" s="1"/>
  <c r="AY56" i="12" s="1"/>
  <c r="V48" i="5"/>
  <c r="E48" i="10" s="1"/>
  <c r="E48" i="12" s="1"/>
  <c r="AY48" i="12" s="1"/>
  <c r="V40" i="5"/>
  <c r="E40" i="10" s="1"/>
  <c r="E40" i="12" s="1"/>
  <c r="AY40" i="12" s="1"/>
  <c r="V32" i="5"/>
  <c r="E32" i="10" s="1"/>
  <c r="E32" i="12" s="1"/>
  <c r="AY32" i="12" s="1"/>
  <c r="V24" i="5"/>
  <c r="E24" i="10" s="1"/>
  <c r="E24" i="12" s="1"/>
  <c r="AY24" i="12" s="1"/>
  <c r="V16" i="5"/>
  <c r="E16" i="10" s="1"/>
  <c r="E16" i="12" s="1"/>
  <c r="AY16" i="12" s="1"/>
  <c r="V8" i="5"/>
  <c r="W60" i="5"/>
  <c r="F60" i="10" s="1"/>
  <c r="F60" i="12" s="1"/>
  <c r="W52" i="5"/>
  <c r="F52" i="10" s="1"/>
  <c r="F52" i="12" s="1"/>
  <c r="W44" i="5"/>
  <c r="F44" i="10" s="1"/>
  <c r="F44" i="12" s="1"/>
  <c r="W36" i="5"/>
  <c r="F36" i="10" s="1"/>
  <c r="F36" i="12" s="1"/>
  <c r="W28" i="5"/>
  <c r="F28" i="10" s="1"/>
  <c r="F28" i="12" s="1"/>
  <c r="W20" i="5"/>
  <c r="F20" i="10" s="1"/>
  <c r="F20" i="12" s="1"/>
  <c r="W12" i="5"/>
  <c r="F12" i="10" s="1"/>
  <c r="F12" i="12" s="1"/>
  <c r="Y61" i="5"/>
  <c r="Y53" i="5"/>
  <c r="Y45" i="5"/>
  <c r="Z33" i="5"/>
  <c r="W33" i="10" s="1"/>
  <c r="Z19" i="5"/>
  <c r="W19" i="10" s="1"/>
  <c r="Z11" i="5"/>
  <c r="W11" i="10" s="1"/>
  <c r="S36" i="5"/>
  <c r="S28" i="5"/>
  <c r="T62" i="5"/>
  <c r="C62" i="10" s="1"/>
  <c r="T54" i="5"/>
  <c r="C54" i="10" s="1"/>
  <c r="T46" i="5"/>
  <c r="C46" i="10" s="1"/>
  <c r="Y60" i="5"/>
  <c r="Y52" i="5"/>
  <c r="Y44" i="5"/>
  <c r="Z10" i="5"/>
  <c r="W10" i="10" s="1"/>
  <c r="S35" i="5"/>
  <c r="S27" i="5"/>
  <c r="Y59" i="5"/>
  <c r="Y51" i="5"/>
  <c r="Y43" i="5"/>
  <c r="Z39" i="5"/>
  <c r="W39" i="10" s="1"/>
  <c r="AD57" i="5"/>
  <c r="AJ26" i="5"/>
  <c r="S34" i="5"/>
  <c r="S26" i="5"/>
  <c r="B26" i="10" s="1"/>
  <c r="Y42" i="5"/>
  <c r="AJ20" i="5"/>
  <c r="W21" i="10"/>
  <c r="F21" i="6" s="1"/>
  <c r="AD21" i="5"/>
  <c r="C20" i="10"/>
  <c r="Z24" i="5"/>
  <c r="T24" i="5"/>
  <c r="O25" i="5"/>
  <c r="O23" i="5"/>
  <c r="Z26" i="5"/>
  <c r="O22" i="5"/>
  <c r="T21" i="5"/>
  <c r="AF24" i="5"/>
  <c r="AJ24" i="5" s="1"/>
  <c r="R5" i="9"/>
  <c r="P5" i="9" s="1"/>
  <c r="Q5" i="9" s="1"/>
  <c r="R6" i="9"/>
  <c r="R7" i="9"/>
  <c r="R8" i="9"/>
  <c r="R9" i="9"/>
  <c r="R10" i="9"/>
  <c r="P10" i="9" s="1"/>
  <c r="Q10" i="9" s="1"/>
  <c r="V10" i="9" s="1"/>
  <c r="R11" i="9"/>
  <c r="P11" i="9" s="1"/>
  <c r="Q11" i="9" s="1"/>
  <c r="R12" i="9"/>
  <c r="P12" i="9" s="1"/>
  <c r="Q12" i="9" s="1"/>
  <c r="V12" i="9" s="1"/>
  <c r="R13" i="9"/>
  <c r="P13" i="9" s="1"/>
  <c r="Q13" i="9" s="1"/>
  <c r="R14" i="9"/>
  <c r="R15" i="9"/>
  <c r="R16" i="9"/>
  <c r="R17" i="9"/>
  <c r="P17" i="9" s="1"/>
  <c r="Q17" i="9" s="1"/>
  <c r="R18" i="9"/>
  <c r="R19" i="9"/>
  <c r="P19" i="9" s="1"/>
  <c r="Q19" i="9" s="1"/>
  <c r="R20" i="9"/>
  <c r="P20" i="9" s="1"/>
  <c r="Q20" i="9" s="1"/>
  <c r="R21" i="9"/>
  <c r="P21" i="9" s="1"/>
  <c r="Q21" i="9" s="1"/>
  <c r="R22" i="9"/>
  <c r="R23" i="9"/>
  <c r="R24" i="9"/>
  <c r="R25" i="9"/>
  <c r="R26" i="9"/>
  <c r="R27" i="9"/>
  <c r="P27" i="9" s="1"/>
  <c r="Q27" i="9" s="1"/>
  <c r="R28" i="9"/>
  <c r="P28" i="9" s="1"/>
  <c r="Q28" i="9" s="1"/>
  <c r="R29" i="9"/>
  <c r="P29" i="9" s="1"/>
  <c r="Q29" i="9" s="1"/>
  <c r="R30" i="9"/>
  <c r="R31" i="9"/>
  <c r="R32" i="9"/>
  <c r="R33" i="9"/>
  <c r="R34" i="9"/>
  <c r="R35" i="9"/>
  <c r="P35" i="9" s="1"/>
  <c r="Q35" i="9" s="1"/>
  <c r="R36" i="9"/>
  <c r="P36" i="9" s="1"/>
  <c r="Q36" i="9" s="1"/>
  <c r="R37" i="9"/>
  <c r="P37" i="9" s="1"/>
  <c r="Q37" i="9" s="1"/>
  <c r="R38" i="9"/>
  <c r="R39" i="9"/>
  <c r="R40" i="9"/>
  <c r="R41" i="9"/>
  <c r="R42" i="9"/>
  <c r="R43" i="9"/>
  <c r="P43" i="9" s="1"/>
  <c r="Q43" i="9" s="1"/>
  <c r="R44" i="9"/>
  <c r="P44" i="9" s="1"/>
  <c r="Q44" i="9" s="1"/>
  <c r="R45" i="9"/>
  <c r="P45" i="9" s="1"/>
  <c r="Q45" i="9" s="1"/>
  <c r="R46" i="9"/>
  <c r="R47" i="9"/>
  <c r="R48" i="9"/>
  <c r="R49" i="9"/>
  <c r="R50" i="9"/>
  <c r="R51" i="9"/>
  <c r="P51" i="9" s="1"/>
  <c r="Q51" i="9" s="1"/>
  <c r="R52" i="9"/>
  <c r="P52" i="9" s="1"/>
  <c r="Q52" i="9" s="1"/>
  <c r="R53" i="9"/>
  <c r="P53" i="9" s="1"/>
  <c r="Q53" i="9" s="1"/>
  <c r="R54" i="9"/>
  <c r="R55" i="9"/>
  <c r="R56" i="9"/>
  <c r="R57" i="9"/>
  <c r="R58" i="9"/>
  <c r="R59" i="9"/>
  <c r="P59" i="9" s="1"/>
  <c r="Q59" i="9" s="1"/>
  <c r="R60" i="9"/>
  <c r="P60" i="9" s="1"/>
  <c r="Q60" i="9" s="1"/>
  <c r="R61" i="9"/>
  <c r="P61" i="9" s="1"/>
  <c r="Q61" i="9" s="1"/>
  <c r="R62" i="9"/>
  <c r="R63" i="9"/>
  <c r="R64" i="9"/>
  <c r="R4" i="9"/>
  <c r="P4" i="9" s="1"/>
  <c r="R3" i="9"/>
  <c r="Q15" i="9"/>
  <c r="P7" i="9"/>
  <c r="Q7" i="9" s="1"/>
  <c r="V7" i="9" s="1"/>
  <c r="P9" i="9"/>
  <c r="P14" i="9"/>
  <c r="Q14" i="9" s="1"/>
  <c r="P15" i="9"/>
  <c r="P16" i="9"/>
  <c r="Q16" i="9" s="1"/>
  <c r="P18" i="9"/>
  <c r="Q18" i="9" s="1"/>
  <c r="P22" i="9"/>
  <c r="Q22" i="9" s="1"/>
  <c r="P23" i="9"/>
  <c r="Q23" i="9" s="1"/>
  <c r="P24" i="9"/>
  <c r="Q24" i="9" s="1"/>
  <c r="P25" i="9"/>
  <c r="Q25" i="9" s="1"/>
  <c r="P26" i="9"/>
  <c r="Q26" i="9" s="1"/>
  <c r="P30" i="9"/>
  <c r="Q30" i="9" s="1"/>
  <c r="P31" i="9"/>
  <c r="Q31" i="9" s="1"/>
  <c r="P32" i="9"/>
  <c r="Q32" i="9" s="1"/>
  <c r="P33" i="9"/>
  <c r="Q33" i="9" s="1"/>
  <c r="P34" i="9"/>
  <c r="Q34" i="9" s="1"/>
  <c r="P38" i="9"/>
  <c r="Q38" i="9" s="1"/>
  <c r="P39" i="9"/>
  <c r="Q39" i="9" s="1"/>
  <c r="P40" i="9"/>
  <c r="Q40" i="9" s="1"/>
  <c r="P41" i="9"/>
  <c r="Q41" i="9" s="1"/>
  <c r="P42" i="9"/>
  <c r="Q42" i="9" s="1"/>
  <c r="P46" i="9"/>
  <c r="Q46" i="9" s="1"/>
  <c r="P47" i="9"/>
  <c r="Q47" i="9" s="1"/>
  <c r="P48" i="9"/>
  <c r="Q48" i="9" s="1"/>
  <c r="P49" i="9"/>
  <c r="Q49" i="9" s="1"/>
  <c r="P50" i="9"/>
  <c r="Q50" i="9" s="1"/>
  <c r="P54" i="9"/>
  <c r="Q54" i="9" s="1"/>
  <c r="P55" i="9"/>
  <c r="Q55" i="9" s="1"/>
  <c r="P56" i="9"/>
  <c r="Q56" i="9" s="1"/>
  <c r="P57" i="9"/>
  <c r="Q57" i="9" s="1"/>
  <c r="P58" i="9"/>
  <c r="Q58" i="9" s="1"/>
  <c r="P62" i="9"/>
  <c r="Q62" i="9" s="1"/>
  <c r="P63" i="9"/>
  <c r="Q63" i="9" s="1"/>
  <c r="P64" i="9"/>
  <c r="Q64" i="9" s="1"/>
  <c r="Q3" i="9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4" i="7"/>
  <c r="E10" i="7"/>
  <c r="E9" i="7"/>
  <c r="F3" i="9"/>
  <c r="G3" i="9" s="1"/>
  <c r="AI4" i="5"/>
  <c r="R4" i="5"/>
  <c r="W4" i="5" s="1"/>
  <c r="F20" i="2"/>
  <c r="AZ60" i="12" l="1"/>
  <c r="V60" i="12"/>
  <c r="AZ20" i="12"/>
  <c r="BN25" i="12" s="1"/>
  <c r="V20" i="12"/>
  <c r="AZ45" i="12"/>
  <c r="V45" i="12"/>
  <c r="AZ48" i="12"/>
  <c r="BN51" i="12" s="1"/>
  <c r="V48" i="12"/>
  <c r="AZ40" i="12"/>
  <c r="V40" i="12"/>
  <c r="AZ31" i="12"/>
  <c r="V31" i="12"/>
  <c r="AZ36" i="12"/>
  <c r="V36" i="12"/>
  <c r="AZ61" i="12"/>
  <c r="V61" i="12"/>
  <c r="AZ55" i="12"/>
  <c r="V55" i="12"/>
  <c r="AZ14" i="12"/>
  <c r="V14" i="12"/>
  <c r="AZ62" i="12"/>
  <c r="V62" i="12"/>
  <c r="AZ38" i="12"/>
  <c r="V38" i="12"/>
  <c r="AZ32" i="12"/>
  <c r="V32" i="12"/>
  <c r="AZ29" i="12"/>
  <c r="V29" i="12"/>
  <c r="AZ23" i="12"/>
  <c r="V23" i="12"/>
  <c r="AZ12" i="12"/>
  <c r="BN11" i="12" s="1"/>
  <c r="V12" i="12"/>
  <c r="AZ37" i="12"/>
  <c r="V37" i="12"/>
  <c r="AZ28" i="12"/>
  <c r="V28" i="12"/>
  <c r="AZ53" i="12"/>
  <c r="V53" i="12"/>
  <c r="AZ44" i="12"/>
  <c r="V44" i="12"/>
  <c r="AZ63" i="12"/>
  <c r="V63" i="12"/>
  <c r="AZ46" i="12"/>
  <c r="V46" i="12"/>
  <c r="AZ22" i="12"/>
  <c r="V22" i="12"/>
  <c r="AZ64" i="12"/>
  <c r="V64" i="12"/>
  <c r="AZ15" i="12"/>
  <c r="V15" i="12"/>
  <c r="AZ24" i="12"/>
  <c r="V24" i="12"/>
  <c r="AZ16" i="12"/>
  <c r="V16" i="12"/>
  <c r="AZ52" i="12"/>
  <c r="V52" i="12"/>
  <c r="BM60" i="12"/>
  <c r="AZ13" i="12"/>
  <c r="V13" i="12"/>
  <c r="AZ54" i="12"/>
  <c r="V54" i="12"/>
  <c r="BQ56" i="12"/>
  <c r="BQ63" i="12"/>
  <c r="BM26" i="12"/>
  <c r="BQ57" i="12"/>
  <c r="AZ21" i="12"/>
  <c r="AZ56" i="12"/>
  <c r="AZ39" i="12"/>
  <c r="AZ47" i="12"/>
  <c r="BM25" i="12"/>
  <c r="BM61" i="12"/>
  <c r="BQ59" i="12"/>
  <c r="AZ30" i="12"/>
  <c r="BQ58" i="12"/>
  <c r="BQ60" i="12"/>
  <c r="BN26" i="12"/>
  <c r="BM52" i="12"/>
  <c r="BM51" i="12"/>
  <c r="AY10" i="12"/>
  <c r="BM11" i="12" s="1"/>
  <c r="BM41" i="12"/>
  <c r="BM42" i="12"/>
  <c r="BQ62" i="12"/>
  <c r="BQ61" i="12"/>
  <c r="F32" i="6"/>
  <c r="F15" i="6"/>
  <c r="F47" i="6"/>
  <c r="F39" i="6"/>
  <c r="Z18" i="5"/>
  <c r="W18" i="10" s="1"/>
  <c r="AA50" i="5"/>
  <c r="X50" i="10" s="1"/>
  <c r="F50" i="6" s="1"/>
  <c r="F31" i="6"/>
  <c r="E33" i="12"/>
  <c r="AY33" i="12" s="1"/>
  <c r="BM35" i="12" s="1"/>
  <c r="X39" i="5"/>
  <c r="X58" i="5"/>
  <c r="AD15" i="5"/>
  <c r="AD37" i="5"/>
  <c r="F57" i="6"/>
  <c r="AD9" i="5"/>
  <c r="X6" i="5"/>
  <c r="AD47" i="5"/>
  <c r="AD13" i="5"/>
  <c r="AD17" i="5"/>
  <c r="F29" i="6"/>
  <c r="F63" i="6"/>
  <c r="F17" i="6"/>
  <c r="AD36" i="5"/>
  <c r="AD55" i="5"/>
  <c r="X50" i="5"/>
  <c r="AD5" i="5"/>
  <c r="X9" i="5"/>
  <c r="AD31" i="5"/>
  <c r="F35" i="6"/>
  <c r="F37" i="6"/>
  <c r="AD41" i="5"/>
  <c r="F33" i="6"/>
  <c r="F13" i="6"/>
  <c r="AD29" i="5"/>
  <c r="X43" i="5"/>
  <c r="X33" i="5"/>
  <c r="F49" i="6"/>
  <c r="AD20" i="5"/>
  <c r="F27" i="6"/>
  <c r="AD30" i="5"/>
  <c r="AD49" i="5"/>
  <c r="X7" i="5"/>
  <c r="AD35" i="5"/>
  <c r="AD6" i="5"/>
  <c r="X45" i="5"/>
  <c r="X8" i="5"/>
  <c r="F28" i="6"/>
  <c r="F30" i="6"/>
  <c r="X59" i="5"/>
  <c r="X41" i="5"/>
  <c r="X46" i="5"/>
  <c r="X49" i="5"/>
  <c r="X14" i="5"/>
  <c r="AD33" i="5"/>
  <c r="AD27" i="5"/>
  <c r="X16" i="5"/>
  <c r="AD19" i="5"/>
  <c r="V43" i="10"/>
  <c r="F43" i="6" s="1"/>
  <c r="AD43" i="5"/>
  <c r="V44" i="10"/>
  <c r="F44" i="6" s="1"/>
  <c r="AD44" i="5"/>
  <c r="B28" i="10"/>
  <c r="X28" i="5"/>
  <c r="B37" i="10"/>
  <c r="X37" i="5"/>
  <c r="C42" i="10"/>
  <c r="X42" i="5"/>
  <c r="X17" i="5"/>
  <c r="F19" i="6"/>
  <c r="X63" i="5"/>
  <c r="F34" i="6"/>
  <c r="B19" i="10"/>
  <c r="X19" i="5"/>
  <c r="B29" i="10"/>
  <c r="X29" i="5"/>
  <c r="X12" i="9"/>
  <c r="U13" i="10"/>
  <c r="V42" i="10"/>
  <c r="F42" i="6" s="1"/>
  <c r="AD42" i="5"/>
  <c r="V51" i="10"/>
  <c r="F51" i="6" s="1"/>
  <c r="AD51" i="5"/>
  <c r="V52" i="10"/>
  <c r="F52" i="6" s="1"/>
  <c r="AD52" i="5"/>
  <c r="B36" i="10"/>
  <c r="X36" i="5"/>
  <c r="B10" i="10"/>
  <c r="X10" i="5"/>
  <c r="V16" i="10"/>
  <c r="F16" i="6" s="1"/>
  <c r="AD16" i="5"/>
  <c r="F36" i="6"/>
  <c r="X48" i="5"/>
  <c r="X51" i="5"/>
  <c r="AD38" i="5"/>
  <c r="X57" i="5"/>
  <c r="AD50" i="5"/>
  <c r="V59" i="10"/>
  <c r="F59" i="6" s="1"/>
  <c r="AD59" i="5"/>
  <c r="V60" i="10"/>
  <c r="F60" i="6" s="1"/>
  <c r="AD60" i="5"/>
  <c r="V45" i="10"/>
  <c r="F45" i="6" s="1"/>
  <c r="AD45" i="5"/>
  <c r="B18" i="10"/>
  <c r="X18" i="5"/>
  <c r="V48" i="10"/>
  <c r="F48" i="6" s="1"/>
  <c r="AD48" i="5"/>
  <c r="X44" i="5"/>
  <c r="X62" i="5"/>
  <c r="X53" i="5"/>
  <c r="F38" i="6"/>
  <c r="X15" i="5"/>
  <c r="X7" i="9"/>
  <c r="U8" i="10"/>
  <c r="B13" i="10"/>
  <c r="X13" i="5"/>
  <c r="AD34" i="5"/>
  <c r="X20" i="5"/>
  <c r="V46" i="10"/>
  <c r="F46" i="6" s="1"/>
  <c r="AD46" i="5"/>
  <c r="B30" i="10"/>
  <c r="X30" i="5"/>
  <c r="V56" i="10"/>
  <c r="F56" i="6" s="1"/>
  <c r="AD56" i="5"/>
  <c r="AD39" i="5"/>
  <c r="AD11" i="5"/>
  <c r="X56" i="5"/>
  <c r="AD10" i="5"/>
  <c r="AD58" i="5"/>
  <c r="V61" i="10"/>
  <c r="F61" i="6" s="1"/>
  <c r="AD61" i="5"/>
  <c r="V54" i="10"/>
  <c r="F54" i="6" s="1"/>
  <c r="AD54" i="5"/>
  <c r="B38" i="10"/>
  <c r="X38" i="5"/>
  <c r="V64" i="10"/>
  <c r="F64" i="6" s="1"/>
  <c r="AD64" i="5"/>
  <c r="B32" i="10"/>
  <c r="X32" i="5"/>
  <c r="AD12" i="5"/>
  <c r="X52" i="5"/>
  <c r="F11" i="6"/>
  <c r="X61" i="5"/>
  <c r="X47" i="5"/>
  <c r="X64" i="5"/>
  <c r="F10" i="6"/>
  <c r="F58" i="6"/>
  <c r="X10" i="9"/>
  <c r="U11" i="10"/>
  <c r="B27" i="10"/>
  <c r="X27" i="5"/>
  <c r="X31" i="5"/>
  <c r="V53" i="10"/>
  <c r="F53" i="6" s="1"/>
  <c r="AD53" i="5"/>
  <c r="B34" i="10"/>
  <c r="X34" i="5"/>
  <c r="B35" i="10"/>
  <c r="X35" i="5"/>
  <c r="X26" i="5"/>
  <c r="V62" i="10"/>
  <c r="F62" i="6" s="1"/>
  <c r="AD62" i="5"/>
  <c r="B11" i="10"/>
  <c r="X11" i="5"/>
  <c r="X12" i="5"/>
  <c r="B40" i="10"/>
  <c r="X40" i="5"/>
  <c r="F12" i="6"/>
  <c r="AD14" i="5"/>
  <c r="X54" i="5"/>
  <c r="AD18" i="5"/>
  <c r="X5" i="5"/>
  <c r="AD28" i="5"/>
  <c r="X60" i="5"/>
  <c r="F14" i="6"/>
  <c r="X55" i="5"/>
  <c r="F18" i="6"/>
  <c r="Z25" i="5"/>
  <c r="T25" i="5"/>
  <c r="C24" i="10"/>
  <c r="X24" i="5"/>
  <c r="C21" i="10"/>
  <c r="X21" i="5"/>
  <c r="W24" i="10"/>
  <c r="F24" i="6" s="1"/>
  <c r="AD24" i="5"/>
  <c r="Z22" i="5"/>
  <c r="T22" i="5"/>
  <c r="W26" i="10"/>
  <c r="F26" i="6" s="1"/>
  <c r="AD26" i="5"/>
  <c r="Z23" i="5"/>
  <c r="T23" i="5"/>
  <c r="Q9" i="9"/>
  <c r="P8" i="9"/>
  <c r="Q8" i="9" s="1"/>
  <c r="V8" i="9" s="1"/>
  <c r="AC4" i="5"/>
  <c r="BN52" i="12" l="1"/>
  <c r="BN12" i="12"/>
  <c r="BM36" i="12"/>
  <c r="BN42" i="12"/>
  <c r="BN41" i="12"/>
  <c r="BN36" i="12"/>
  <c r="BN35" i="12"/>
  <c r="BM12" i="12"/>
  <c r="BR60" i="12"/>
  <c r="BN61" i="12"/>
  <c r="BN60" i="12"/>
  <c r="U9" i="10"/>
  <c r="X9" i="9"/>
  <c r="U10" i="10"/>
  <c r="C23" i="10"/>
  <c r="X23" i="5"/>
  <c r="W23" i="10"/>
  <c r="F23" i="6" s="1"/>
  <c r="AD23" i="5"/>
  <c r="C22" i="10"/>
  <c r="X22" i="5"/>
  <c r="C25" i="10"/>
  <c r="X25" i="5"/>
  <c r="W22" i="10"/>
  <c r="F22" i="6" s="1"/>
  <c r="AD22" i="5"/>
  <c r="W25" i="10"/>
  <c r="F25" i="6" s="1"/>
  <c r="AD25" i="5"/>
  <c r="A4" i="10"/>
  <c r="A4" i="6" s="1"/>
  <c r="B8" i="9"/>
  <c r="D8" i="9"/>
  <c r="E8" i="9"/>
  <c r="F8" i="9"/>
  <c r="G8" i="9" s="1"/>
  <c r="H8" i="9"/>
  <c r="F6" i="9"/>
  <c r="G6" i="9" s="1"/>
  <c r="O64" i="9"/>
  <c r="H64" i="9"/>
  <c r="F64" i="9"/>
  <c r="G64" i="9" s="1"/>
  <c r="D64" i="9"/>
  <c r="E64" i="9" s="1"/>
  <c r="B64" i="9"/>
  <c r="O63" i="9"/>
  <c r="H63" i="9"/>
  <c r="F63" i="9"/>
  <c r="G63" i="9" s="1"/>
  <c r="D63" i="9"/>
  <c r="E63" i="9" s="1"/>
  <c r="B63" i="9"/>
  <c r="O62" i="9"/>
  <c r="H62" i="9"/>
  <c r="F62" i="9"/>
  <c r="G62" i="9" s="1"/>
  <c r="D62" i="9"/>
  <c r="E62" i="9" s="1"/>
  <c r="B62" i="9"/>
  <c r="O61" i="9"/>
  <c r="H61" i="9"/>
  <c r="F61" i="9"/>
  <c r="G61" i="9" s="1"/>
  <c r="D61" i="9"/>
  <c r="E61" i="9" s="1"/>
  <c r="B61" i="9"/>
  <c r="O60" i="9"/>
  <c r="H60" i="9"/>
  <c r="F60" i="9"/>
  <c r="G60" i="9" s="1"/>
  <c r="D60" i="9"/>
  <c r="E60" i="9" s="1"/>
  <c r="B60" i="9"/>
  <c r="O59" i="9"/>
  <c r="H59" i="9"/>
  <c r="F59" i="9"/>
  <c r="G59" i="9" s="1"/>
  <c r="D59" i="9"/>
  <c r="E59" i="9" s="1"/>
  <c r="B59" i="9"/>
  <c r="O58" i="9"/>
  <c r="H58" i="9"/>
  <c r="F58" i="9"/>
  <c r="G58" i="9" s="1"/>
  <c r="D58" i="9"/>
  <c r="E58" i="9" s="1"/>
  <c r="B58" i="9"/>
  <c r="O57" i="9"/>
  <c r="H57" i="9"/>
  <c r="F57" i="9"/>
  <c r="G57" i="9" s="1"/>
  <c r="E57" i="9"/>
  <c r="D57" i="9"/>
  <c r="B57" i="9"/>
  <c r="O56" i="9"/>
  <c r="H56" i="9"/>
  <c r="F56" i="9"/>
  <c r="G56" i="9" s="1"/>
  <c r="D56" i="9"/>
  <c r="E56" i="9" s="1"/>
  <c r="B56" i="9"/>
  <c r="O55" i="9"/>
  <c r="H55" i="9"/>
  <c r="G55" i="9"/>
  <c r="F55" i="9"/>
  <c r="D55" i="9"/>
  <c r="E55" i="9" s="1"/>
  <c r="B55" i="9"/>
  <c r="O54" i="9"/>
  <c r="H54" i="9"/>
  <c r="F54" i="9"/>
  <c r="G54" i="9" s="1"/>
  <c r="D54" i="9"/>
  <c r="E54" i="9" s="1"/>
  <c r="B54" i="9"/>
  <c r="O53" i="9"/>
  <c r="H53" i="9"/>
  <c r="F53" i="9"/>
  <c r="G53" i="9" s="1"/>
  <c r="D53" i="9"/>
  <c r="E53" i="9" s="1"/>
  <c r="B53" i="9"/>
  <c r="O52" i="9"/>
  <c r="H52" i="9"/>
  <c r="F52" i="9"/>
  <c r="G52" i="9" s="1"/>
  <c r="D52" i="9"/>
  <c r="E52" i="9" s="1"/>
  <c r="B52" i="9"/>
  <c r="O51" i="9"/>
  <c r="H51" i="9"/>
  <c r="F51" i="9"/>
  <c r="G51" i="9" s="1"/>
  <c r="D51" i="9"/>
  <c r="E51" i="9" s="1"/>
  <c r="B51" i="9"/>
  <c r="O50" i="9"/>
  <c r="H50" i="9"/>
  <c r="G50" i="9"/>
  <c r="F50" i="9"/>
  <c r="D50" i="9"/>
  <c r="E50" i="9" s="1"/>
  <c r="B50" i="9"/>
  <c r="O49" i="9"/>
  <c r="H49" i="9"/>
  <c r="F49" i="9"/>
  <c r="G49" i="9" s="1"/>
  <c r="D49" i="9"/>
  <c r="E49" i="9" s="1"/>
  <c r="B49" i="9"/>
  <c r="O48" i="9"/>
  <c r="H48" i="9"/>
  <c r="F48" i="9"/>
  <c r="G48" i="9" s="1"/>
  <c r="D48" i="9"/>
  <c r="E48" i="9" s="1"/>
  <c r="B48" i="9"/>
  <c r="O47" i="9"/>
  <c r="H47" i="9"/>
  <c r="F47" i="9"/>
  <c r="G47" i="9" s="1"/>
  <c r="D47" i="9"/>
  <c r="E47" i="9" s="1"/>
  <c r="B47" i="9"/>
  <c r="O46" i="9"/>
  <c r="H46" i="9"/>
  <c r="F46" i="9"/>
  <c r="G46" i="9" s="1"/>
  <c r="D46" i="9"/>
  <c r="E46" i="9" s="1"/>
  <c r="B46" i="9"/>
  <c r="O45" i="9"/>
  <c r="H45" i="9"/>
  <c r="F45" i="9"/>
  <c r="G45" i="9" s="1"/>
  <c r="D45" i="9"/>
  <c r="E45" i="9" s="1"/>
  <c r="B45" i="9"/>
  <c r="O44" i="9"/>
  <c r="H44" i="9"/>
  <c r="F44" i="9"/>
  <c r="G44" i="9" s="1"/>
  <c r="D44" i="9"/>
  <c r="E44" i="9" s="1"/>
  <c r="B44" i="9"/>
  <c r="O43" i="9"/>
  <c r="H43" i="9"/>
  <c r="F43" i="9"/>
  <c r="G43" i="9" s="1"/>
  <c r="D43" i="9"/>
  <c r="E43" i="9" s="1"/>
  <c r="B43" i="9"/>
  <c r="O42" i="9"/>
  <c r="H42" i="9"/>
  <c r="F42" i="9"/>
  <c r="G42" i="9" s="1"/>
  <c r="D42" i="9"/>
  <c r="E42" i="9" s="1"/>
  <c r="B42" i="9"/>
  <c r="O41" i="9"/>
  <c r="H41" i="9"/>
  <c r="F41" i="9"/>
  <c r="G41" i="9" s="1"/>
  <c r="D41" i="9"/>
  <c r="E41" i="9" s="1"/>
  <c r="B41" i="9"/>
  <c r="O40" i="9"/>
  <c r="H40" i="9"/>
  <c r="F40" i="9"/>
  <c r="G40" i="9" s="1"/>
  <c r="E40" i="9"/>
  <c r="D40" i="9"/>
  <c r="B40" i="9"/>
  <c r="O39" i="9"/>
  <c r="H39" i="9"/>
  <c r="F39" i="9"/>
  <c r="G39" i="9" s="1"/>
  <c r="D39" i="9"/>
  <c r="E39" i="9" s="1"/>
  <c r="B39" i="9"/>
  <c r="O38" i="9"/>
  <c r="H38" i="9"/>
  <c r="F38" i="9"/>
  <c r="G38" i="9" s="1"/>
  <c r="D38" i="9"/>
  <c r="E38" i="9" s="1"/>
  <c r="B38" i="9"/>
  <c r="O37" i="9"/>
  <c r="H37" i="9"/>
  <c r="G37" i="9"/>
  <c r="F37" i="9"/>
  <c r="D37" i="9"/>
  <c r="E37" i="9" s="1"/>
  <c r="B37" i="9"/>
  <c r="O36" i="9"/>
  <c r="H36" i="9"/>
  <c r="F36" i="9"/>
  <c r="G36" i="9" s="1"/>
  <c r="D36" i="9"/>
  <c r="E36" i="9" s="1"/>
  <c r="B36" i="9"/>
  <c r="O35" i="9"/>
  <c r="H35" i="9"/>
  <c r="F35" i="9"/>
  <c r="G35" i="9" s="1"/>
  <c r="D35" i="9"/>
  <c r="E35" i="9" s="1"/>
  <c r="B35" i="9"/>
  <c r="O34" i="9"/>
  <c r="H34" i="9"/>
  <c r="F34" i="9"/>
  <c r="G34" i="9" s="1"/>
  <c r="D34" i="9"/>
  <c r="E34" i="9" s="1"/>
  <c r="B34" i="9"/>
  <c r="O33" i="9"/>
  <c r="H33" i="9"/>
  <c r="F33" i="9"/>
  <c r="G33" i="9" s="1"/>
  <c r="D33" i="9"/>
  <c r="E33" i="9" s="1"/>
  <c r="B33" i="9"/>
  <c r="O32" i="9"/>
  <c r="H32" i="9"/>
  <c r="F32" i="9"/>
  <c r="G32" i="9" s="1"/>
  <c r="D32" i="9"/>
  <c r="E32" i="9" s="1"/>
  <c r="B32" i="9"/>
  <c r="O31" i="9"/>
  <c r="H31" i="9"/>
  <c r="F31" i="9"/>
  <c r="G31" i="9" s="1"/>
  <c r="D31" i="9"/>
  <c r="E31" i="9" s="1"/>
  <c r="B31" i="9"/>
  <c r="O30" i="9"/>
  <c r="H30" i="9"/>
  <c r="F30" i="9"/>
  <c r="G30" i="9" s="1"/>
  <c r="D30" i="9"/>
  <c r="E30" i="9" s="1"/>
  <c r="B30" i="9"/>
  <c r="O29" i="9"/>
  <c r="H29" i="9"/>
  <c r="F29" i="9"/>
  <c r="G29" i="9" s="1"/>
  <c r="D29" i="9"/>
  <c r="E29" i="9" s="1"/>
  <c r="B29" i="9"/>
  <c r="O28" i="9"/>
  <c r="H28" i="9"/>
  <c r="F28" i="9"/>
  <c r="G28" i="9" s="1"/>
  <c r="D28" i="9"/>
  <c r="E28" i="9" s="1"/>
  <c r="B28" i="9"/>
  <c r="O27" i="9"/>
  <c r="H27" i="9"/>
  <c r="F27" i="9"/>
  <c r="G27" i="9" s="1"/>
  <c r="D27" i="9"/>
  <c r="E27" i="9" s="1"/>
  <c r="B27" i="9"/>
  <c r="O26" i="9"/>
  <c r="H26" i="9"/>
  <c r="F26" i="9"/>
  <c r="G26" i="9" s="1"/>
  <c r="D26" i="9"/>
  <c r="E26" i="9" s="1"/>
  <c r="B26" i="9"/>
  <c r="O25" i="9"/>
  <c r="H25" i="9"/>
  <c r="F25" i="9"/>
  <c r="G25" i="9" s="1"/>
  <c r="D25" i="9"/>
  <c r="E25" i="9" s="1"/>
  <c r="B25" i="9"/>
  <c r="O24" i="9"/>
  <c r="H24" i="9"/>
  <c r="F24" i="9"/>
  <c r="G24" i="9" s="1"/>
  <c r="D24" i="9"/>
  <c r="E24" i="9" s="1"/>
  <c r="B24" i="9"/>
  <c r="O23" i="9"/>
  <c r="H23" i="9"/>
  <c r="F23" i="9"/>
  <c r="G23" i="9" s="1"/>
  <c r="D23" i="9"/>
  <c r="E23" i="9" s="1"/>
  <c r="B23" i="9"/>
  <c r="O22" i="9"/>
  <c r="H22" i="9"/>
  <c r="F22" i="9"/>
  <c r="G22" i="9" s="1"/>
  <c r="D22" i="9"/>
  <c r="E22" i="9" s="1"/>
  <c r="B22" i="9"/>
  <c r="O21" i="9"/>
  <c r="H21" i="9"/>
  <c r="F21" i="9"/>
  <c r="G21" i="9" s="1"/>
  <c r="D21" i="9"/>
  <c r="E21" i="9" s="1"/>
  <c r="B21" i="9"/>
  <c r="O20" i="9"/>
  <c r="H20" i="9"/>
  <c r="F20" i="9"/>
  <c r="G20" i="9" s="1"/>
  <c r="D20" i="9"/>
  <c r="E20" i="9" s="1"/>
  <c r="B20" i="9"/>
  <c r="O19" i="9"/>
  <c r="H19" i="9"/>
  <c r="F19" i="9"/>
  <c r="G19" i="9" s="1"/>
  <c r="D19" i="9"/>
  <c r="E19" i="9" s="1"/>
  <c r="B19" i="9"/>
  <c r="O18" i="9"/>
  <c r="H18" i="9"/>
  <c r="F18" i="9"/>
  <c r="G18" i="9" s="1"/>
  <c r="D18" i="9"/>
  <c r="E18" i="9" s="1"/>
  <c r="B18" i="9"/>
  <c r="O17" i="9"/>
  <c r="H17" i="9"/>
  <c r="F17" i="9"/>
  <c r="G17" i="9" s="1"/>
  <c r="D17" i="9"/>
  <c r="E17" i="9" s="1"/>
  <c r="B17" i="9"/>
  <c r="O16" i="9"/>
  <c r="H16" i="9"/>
  <c r="F16" i="9"/>
  <c r="G16" i="9" s="1"/>
  <c r="E16" i="9"/>
  <c r="D16" i="9"/>
  <c r="B16" i="9"/>
  <c r="O15" i="9"/>
  <c r="H15" i="9"/>
  <c r="F15" i="9"/>
  <c r="G15" i="9" s="1"/>
  <c r="D15" i="9"/>
  <c r="E15" i="9" s="1"/>
  <c r="B15" i="9"/>
  <c r="O14" i="9"/>
  <c r="H14" i="9"/>
  <c r="F14" i="9"/>
  <c r="G14" i="9" s="1"/>
  <c r="D14" i="9"/>
  <c r="E14" i="9" s="1"/>
  <c r="B14" i="9"/>
  <c r="O13" i="9"/>
  <c r="H13" i="9"/>
  <c r="F13" i="9"/>
  <c r="G13" i="9" s="1"/>
  <c r="D13" i="9"/>
  <c r="E13" i="9" s="1"/>
  <c r="B13" i="9"/>
  <c r="O12" i="9"/>
  <c r="H12" i="9"/>
  <c r="F12" i="9"/>
  <c r="G12" i="9" s="1"/>
  <c r="D12" i="9"/>
  <c r="E12" i="9" s="1"/>
  <c r="B12" i="9"/>
  <c r="O11" i="9"/>
  <c r="H11" i="9"/>
  <c r="F11" i="9"/>
  <c r="G11" i="9" s="1"/>
  <c r="D11" i="9"/>
  <c r="E11" i="9" s="1"/>
  <c r="B11" i="9"/>
  <c r="O10" i="9"/>
  <c r="H10" i="9"/>
  <c r="F10" i="9"/>
  <c r="G10" i="9" s="1"/>
  <c r="D10" i="9"/>
  <c r="E10" i="9" s="1"/>
  <c r="B10" i="9"/>
  <c r="O9" i="9"/>
  <c r="H9" i="9"/>
  <c r="F9" i="9"/>
  <c r="G9" i="9" s="1"/>
  <c r="D9" i="9"/>
  <c r="E9" i="9" s="1"/>
  <c r="B9" i="9"/>
  <c r="O7" i="9"/>
  <c r="H7" i="9"/>
  <c r="F7" i="9"/>
  <c r="G7" i="9" s="1"/>
  <c r="D7" i="9"/>
  <c r="E7" i="9" s="1"/>
  <c r="B7" i="9"/>
  <c r="O6" i="9"/>
  <c r="H6" i="9"/>
  <c r="B6" i="9"/>
  <c r="O5" i="9"/>
  <c r="H5" i="9"/>
  <c r="F5" i="9"/>
  <c r="G5" i="9" s="1"/>
  <c r="D5" i="9"/>
  <c r="B5" i="9"/>
  <c r="O4" i="9"/>
  <c r="F4" i="9"/>
  <c r="G4" i="9" s="1"/>
  <c r="D4" i="9"/>
  <c r="E4" i="9" s="1"/>
  <c r="B4" i="9"/>
  <c r="O3" i="9"/>
  <c r="I3" i="9"/>
  <c r="H3" i="9"/>
  <c r="D3" i="9"/>
  <c r="E3" i="9" s="1"/>
  <c r="C3" i="9"/>
  <c r="B3" i="9"/>
  <c r="F3" i="7"/>
  <c r="D3" i="7"/>
  <c r="C8" i="7"/>
  <c r="D8" i="7" s="1"/>
  <c r="C43" i="7"/>
  <c r="F43" i="7" s="1"/>
  <c r="C45" i="7"/>
  <c r="F45" i="7" s="1"/>
  <c r="C46" i="7"/>
  <c r="F46" i="7" s="1"/>
  <c r="C48" i="7"/>
  <c r="F48" i="7" s="1"/>
  <c r="C50" i="7"/>
  <c r="F50" i="7" s="1"/>
  <c r="C51" i="7"/>
  <c r="F51" i="7" s="1"/>
  <c r="C54" i="7"/>
  <c r="F54" i="7" s="1"/>
  <c r="C56" i="7"/>
  <c r="F56" i="7" s="1"/>
  <c r="C62" i="7"/>
  <c r="F62" i="7" s="1"/>
  <c r="C64" i="7"/>
  <c r="F64" i="7" s="1"/>
  <c r="C8" i="9" l="1"/>
  <c r="F8" i="7"/>
  <c r="C5" i="9"/>
  <c r="C10" i="9"/>
  <c r="C4" i="9"/>
  <c r="I5" i="9" s="1"/>
  <c r="C33" i="9"/>
  <c r="C7" i="9"/>
  <c r="I8" i="9" s="1"/>
  <c r="C6" i="9"/>
  <c r="C62" i="9"/>
  <c r="C12" i="9"/>
  <c r="C28" i="9"/>
  <c r="C17" i="9"/>
  <c r="C55" i="9"/>
  <c r="C36" i="9"/>
  <c r="C39" i="9"/>
  <c r="C47" i="9"/>
  <c r="C11" i="9"/>
  <c r="C15" i="9"/>
  <c r="C18" i="9"/>
  <c r="C42" i="9"/>
  <c r="C58" i="9"/>
  <c r="C9" i="9"/>
  <c r="I10" i="9" s="1"/>
  <c r="C27" i="9"/>
  <c r="C48" i="9"/>
  <c r="C53" i="9"/>
  <c r="C54" i="9"/>
  <c r="C63" i="9"/>
  <c r="C23" i="9"/>
  <c r="C26" i="9"/>
  <c r="C32" i="9"/>
  <c r="C37" i="9"/>
  <c r="C38" i="9"/>
  <c r="I38" i="9" s="1"/>
  <c r="C41" i="9"/>
  <c r="C52" i="9"/>
  <c r="C57" i="9"/>
  <c r="C13" i="9"/>
  <c r="C16" i="9"/>
  <c r="C22" i="9"/>
  <c r="I22" i="9" s="1"/>
  <c r="C25" i="9"/>
  <c r="C50" i="9"/>
  <c r="C59" i="9"/>
  <c r="C51" i="9"/>
  <c r="C43" i="9"/>
  <c r="C35" i="9"/>
  <c r="C14" i="9"/>
  <c r="C21" i="9"/>
  <c r="C31" i="9"/>
  <c r="C34" i="9"/>
  <c r="C40" i="9"/>
  <c r="C45" i="9"/>
  <c r="C46" i="9"/>
  <c r="C56" i="9"/>
  <c r="C61" i="9"/>
  <c r="I62" i="9" s="1"/>
  <c r="C20" i="9"/>
  <c r="C44" i="9"/>
  <c r="C49" i="9"/>
  <c r="C60" i="9"/>
  <c r="C64" i="9"/>
  <c r="C19" i="9"/>
  <c r="C24" i="9"/>
  <c r="C29" i="9"/>
  <c r="C30" i="9"/>
  <c r="T5" i="9" l="1"/>
  <c r="U5" i="9"/>
  <c r="Y5" i="9" s="1"/>
  <c r="I46" i="9"/>
  <c r="I64" i="9"/>
  <c r="I6" i="9"/>
  <c r="Y8" i="9"/>
  <c r="X8" i="9" s="1"/>
  <c r="I7" i="9"/>
  <c r="T7" i="9" s="1"/>
  <c r="I16" i="9"/>
  <c r="V16" i="9" s="1"/>
  <c r="I37" i="9"/>
  <c r="W37" i="9" s="1"/>
  <c r="I56" i="9"/>
  <c r="V56" i="9" s="1"/>
  <c r="I4" i="9"/>
  <c r="I19" i="9"/>
  <c r="T19" i="9" s="1"/>
  <c r="I18" i="9"/>
  <c r="I9" i="9"/>
  <c r="I63" i="9"/>
  <c r="V63" i="9" s="1"/>
  <c r="T8" i="9"/>
  <c r="S8" i="9"/>
  <c r="I13" i="9"/>
  <c r="I29" i="9"/>
  <c r="I44" i="9"/>
  <c r="U44" i="9" s="1"/>
  <c r="Y44" i="9" s="1"/>
  <c r="I34" i="9"/>
  <c r="W34" i="9" s="1"/>
  <c r="I48" i="9"/>
  <c r="T48" i="9" s="1"/>
  <c r="I11" i="9"/>
  <c r="I24" i="9"/>
  <c r="T24" i="9" s="1"/>
  <c r="I25" i="9"/>
  <c r="V25" i="9" s="1"/>
  <c r="I27" i="9"/>
  <c r="V27" i="9" s="1"/>
  <c r="I36" i="9"/>
  <c r="S36" i="9" s="1"/>
  <c r="I58" i="9"/>
  <c r="T58" i="9" s="1"/>
  <c r="S6" i="9"/>
  <c r="T6" i="9"/>
  <c r="I40" i="9"/>
  <c r="T40" i="9" s="1"/>
  <c r="I53" i="9"/>
  <c r="U6" i="9"/>
  <c r="I50" i="9"/>
  <c r="V50" i="9" s="1"/>
  <c r="I39" i="9"/>
  <c r="W39" i="9" s="1"/>
  <c r="I47" i="9"/>
  <c r="V47" i="9" s="1"/>
  <c r="I21" i="9"/>
  <c r="I14" i="9"/>
  <c r="V14" i="9" s="1"/>
  <c r="I26" i="9"/>
  <c r="S26" i="9" s="1"/>
  <c r="I15" i="9"/>
  <c r="V15" i="9" s="1"/>
  <c r="I51" i="9"/>
  <c r="V51" i="9" s="1"/>
  <c r="I57" i="9"/>
  <c r="V57" i="9" s="1"/>
  <c r="I23" i="9"/>
  <c r="V23" i="9" s="1"/>
  <c r="I12" i="9"/>
  <c r="T12" i="9" s="1"/>
  <c r="I32" i="9"/>
  <c r="S32" i="9" s="1"/>
  <c r="S5" i="9"/>
  <c r="I30" i="9"/>
  <c r="S30" i="9" s="1"/>
  <c r="I54" i="9"/>
  <c r="V54" i="9" s="1"/>
  <c r="I42" i="9"/>
  <c r="T42" i="9" s="1"/>
  <c r="V24" i="9"/>
  <c r="S18" i="9"/>
  <c r="V18" i="9"/>
  <c r="U18" i="9"/>
  <c r="Y18" i="9" s="1"/>
  <c r="T18" i="9"/>
  <c r="W62" i="9"/>
  <c r="V62" i="9"/>
  <c r="U62" i="9"/>
  <c r="Y62" i="9" s="1"/>
  <c r="T62" i="9"/>
  <c r="S62" i="9"/>
  <c r="T16" i="9"/>
  <c r="I59" i="9"/>
  <c r="T13" i="9"/>
  <c r="U13" i="9"/>
  <c r="Y13" i="9" s="1"/>
  <c r="I45" i="9"/>
  <c r="W38" i="9"/>
  <c r="V38" i="9"/>
  <c r="T38" i="9"/>
  <c r="U38" i="9"/>
  <c r="Y38" i="9" s="1"/>
  <c r="S38" i="9"/>
  <c r="V19" i="9"/>
  <c r="I55" i="9"/>
  <c r="I41" i="9"/>
  <c r="U12" i="9"/>
  <c r="Y12" i="9" s="1"/>
  <c r="S10" i="9"/>
  <c r="U10" i="9"/>
  <c r="Y10" i="9" s="1"/>
  <c r="T10" i="9"/>
  <c r="I61" i="9"/>
  <c r="U48" i="9"/>
  <c r="Y48" i="9" s="1"/>
  <c r="U7" i="9"/>
  <c r="Y7" i="9" s="1"/>
  <c r="I28" i="9"/>
  <c r="I31" i="9"/>
  <c r="W64" i="9"/>
  <c r="V64" i="9"/>
  <c r="T64" i="9"/>
  <c r="U64" i="9"/>
  <c r="Y64" i="9" s="1"/>
  <c r="S64" i="9"/>
  <c r="I52" i="9"/>
  <c r="W46" i="9"/>
  <c r="V46" i="9"/>
  <c r="T46" i="9"/>
  <c r="U46" i="9"/>
  <c r="Y46" i="9" s="1"/>
  <c r="S46" i="9"/>
  <c r="V22" i="9"/>
  <c r="T22" i="9"/>
  <c r="U22" i="9"/>
  <c r="Y22" i="9" s="1"/>
  <c r="S22" i="9"/>
  <c r="S15" i="9"/>
  <c r="I17" i="9"/>
  <c r="I60" i="9"/>
  <c r="I35" i="9"/>
  <c r="V37" i="9"/>
  <c r="U37" i="9"/>
  <c r="Y37" i="9" s="1"/>
  <c r="S37" i="9"/>
  <c r="I33" i="9"/>
  <c r="I49" i="9"/>
  <c r="I20" i="9"/>
  <c r="I43" i="9"/>
  <c r="AL19" i="10" l="1"/>
  <c r="S19" i="10"/>
  <c r="X23" i="9"/>
  <c r="U24" i="10"/>
  <c r="X54" i="9"/>
  <c r="U54" i="10"/>
  <c r="X18" i="9"/>
  <c r="U19" i="10"/>
  <c r="O19" i="12" s="1"/>
  <c r="X25" i="9"/>
  <c r="U26" i="10"/>
  <c r="X47" i="9"/>
  <c r="U47" i="10"/>
  <c r="X38" i="9"/>
  <c r="U38" i="10"/>
  <c r="X57" i="9"/>
  <c r="U57" i="10"/>
  <c r="X27" i="9"/>
  <c r="U28" i="10"/>
  <c r="X51" i="9"/>
  <c r="U51" i="10"/>
  <c r="X62" i="9"/>
  <c r="U62" i="10"/>
  <c r="X5" i="9"/>
  <c r="U6" i="10"/>
  <c r="X19" i="9"/>
  <c r="U20" i="10"/>
  <c r="X63" i="9"/>
  <c r="U63" i="10"/>
  <c r="X64" i="9"/>
  <c r="U64" i="10"/>
  <c r="O64" i="12" s="1"/>
  <c r="X24" i="9"/>
  <c r="U25" i="10"/>
  <c r="X50" i="9"/>
  <c r="U50" i="10"/>
  <c r="X46" i="9"/>
  <c r="U46" i="10"/>
  <c r="X56" i="9"/>
  <c r="U56" i="10"/>
  <c r="X15" i="9"/>
  <c r="U16" i="10"/>
  <c r="O16" i="12" s="1"/>
  <c r="X16" i="9"/>
  <c r="U17" i="10"/>
  <c r="X14" i="9"/>
  <c r="U15" i="10"/>
  <c r="X37" i="9"/>
  <c r="U37" i="10"/>
  <c r="X22" i="9"/>
  <c r="U23" i="10"/>
  <c r="O23" i="12" s="1"/>
  <c r="G13" i="10"/>
  <c r="U16" i="9"/>
  <c r="Y16" i="9" s="1"/>
  <c r="G48" i="10"/>
  <c r="B48" i="6" s="1"/>
  <c r="V48" i="9"/>
  <c r="G44" i="10"/>
  <c r="B44" i="6" s="1"/>
  <c r="G23" i="10"/>
  <c r="B23" i="6" s="1"/>
  <c r="W47" i="9"/>
  <c r="G62" i="10"/>
  <c r="B62" i="6" s="1"/>
  <c r="V13" i="9"/>
  <c r="S13" i="9"/>
  <c r="G64" i="10"/>
  <c r="B64" i="6" s="1"/>
  <c r="U58" i="9"/>
  <c r="Y58" i="9" s="1"/>
  <c r="W53" i="9"/>
  <c r="U53" i="9"/>
  <c r="Y53" i="9" s="1"/>
  <c r="G19" i="10"/>
  <c r="B19" i="6" s="1"/>
  <c r="G37" i="10"/>
  <c r="B37" i="6" s="1"/>
  <c r="G14" i="10"/>
  <c r="B14" i="6" s="1"/>
  <c r="G11" i="10"/>
  <c r="S48" i="9"/>
  <c r="G38" i="10"/>
  <c r="B38" i="6" s="1"/>
  <c r="W48" i="9"/>
  <c r="G46" i="10"/>
  <c r="B46" i="6" s="1"/>
  <c r="S16" i="9"/>
  <c r="U34" i="9"/>
  <c r="Y34" i="9" s="1"/>
  <c r="G34" i="10" s="1"/>
  <c r="B34" i="6" s="1"/>
  <c r="S7" i="9"/>
  <c r="T29" i="9"/>
  <c r="S29" i="9"/>
  <c r="T37" i="9"/>
  <c r="T15" i="9"/>
  <c r="U15" i="9"/>
  <c r="Y15" i="9" s="1"/>
  <c r="G16" i="10" s="1"/>
  <c r="B16" i="6" s="1"/>
  <c r="U24" i="9"/>
  <c r="Y24" i="9" s="1"/>
  <c r="U14" i="9"/>
  <c r="Y14" i="9" s="1"/>
  <c r="G15" i="10" s="1"/>
  <c r="B15" i="6" s="1"/>
  <c r="S24" i="9"/>
  <c r="S11" i="9"/>
  <c r="V36" i="9"/>
  <c r="V58" i="9"/>
  <c r="U19" i="9"/>
  <c r="Y19" i="9" s="1"/>
  <c r="S47" i="9"/>
  <c r="V34" i="9"/>
  <c r="T47" i="9"/>
  <c r="S58" i="9"/>
  <c r="W56" i="9"/>
  <c r="T34" i="9"/>
  <c r="S56" i="9"/>
  <c r="S34" i="9"/>
  <c r="U5" i="10"/>
  <c r="U51" i="9"/>
  <c r="Y51" i="9" s="1"/>
  <c r="W51" i="9"/>
  <c r="U63" i="9"/>
  <c r="Y63" i="9" s="1"/>
  <c r="T56" i="9"/>
  <c r="W42" i="9"/>
  <c r="W58" i="9"/>
  <c r="U56" i="9"/>
  <c r="Y56" i="9" s="1"/>
  <c r="U47" i="9"/>
  <c r="Y47" i="9" s="1"/>
  <c r="S42" i="9"/>
  <c r="S19" i="9"/>
  <c r="U27" i="9"/>
  <c r="Y27" i="9" s="1"/>
  <c r="U40" i="9"/>
  <c r="Y40" i="9" s="1"/>
  <c r="U11" i="9"/>
  <c r="Y11" i="9" s="1"/>
  <c r="U29" i="9"/>
  <c r="Y29" i="9" s="1"/>
  <c r="V29" i="9"/>
  <c r="X29" i="9" s="1"/>
  <c r="V30" i="9"/>
  <c r="W50" i="9"/>
  <c r="U36" i="9"/>
  <c r="Y36" i="9" s="1"/>
  <c r="U21" i="9"/>
  <c r="Y21" i="9" s="1"/>
  <c r="W63" i="9"/>
  <c r="T25" i="9"/>
  <c r="V44" i="9"/>
  <c r="V39" i="9"/>
  <c r="V40" i="9"/>
  <c r="T11" i="9"/>
  <c r="W36" i="9"/>
  <c r="U39" i="9"/>
  <c r="Y39" i="9" s="1"/>
  <c r="T50" i="9"/>
  <c r="S63" i="9"/>
  <c r="S39" i="9"/>
  <c r="V11" i="9"/>
  <c r="W44" i="9"/>
  <c r="U50" i="9"/>
  <c r="Y50" i="9" s="1"/>
  <c r="S21" i="9"/>
  <c r="T63" i="9"/>
  <c r="S25" i="9"/>
  <c r="S50" i="9"/>
  <c r="T51" i="9"/>
  <c r="S12" i="9"/>
  <c r="T21" i="9"/>
  <c r="U25" i="9"/>
  <c r="Y25" i="9" s="1"/>
  <c r="T44" i="9"/>
  <c r="T27" i="9"/>
  <c r="T39" i="9"/>
  <c r="U42" i="9"/>
  <c r="Y42" i="9" s="1"/>
  <c r="T36" i="9"/>
  <c r="V21" i="9"/>
  <c r="S51" i="9"/>
  <c r="S44" i="9"/>
  <c r="S27" i="9"/>
  <c r="T32" i="9"/>
  <c r="V42" i="9"/>
  <c r="W57" i="9"/>
  <c r="S54" i="9"/>
  <c r="T57" i="9"/>
  <c r="W54" i="9"/>
  <c r="W30" i="9"/>
  <c r="S57" i="9"/>
  <c r="S53" i="9"/>
  <c r="U30" i="9"/>
  <c r="Y30" i="9" s="1"/>
  <c r="U57" i="9"/>
  <c r="Y57" i="9" s="1"/>
  <c r="S23" i="9"/>
  <c r="T53" i="9"/>
  <c r="T30" i="9"/>
  <c r="T23" i="9"/>
  <c r="T26" i="9"/>
  <c r="V53" i="9"/>
  <c r="U54" i="9"/>
  <c r="Y54" i="9" s="1"/>
  <c r="W40" i="9"/>
  <c r="U26" i="9"/>
  <c r="Y26" i="9" s="1"/>
  <c r="T54" i="9"/>
  <c r="S40" i="9"/>
  <c r="U23" i="9"/>
  <c r="Y23" i="9" s="1"/>
  <c r="V26" i="9"/>
  <c r="W32" i="9"/>
  <c r="V32" i="9"/>
  <c r="T14" i="9"/>
  <c r="U32" i="9"/>
  <c r="Y32" i="9" s="1"/>
  <c r="G32" i="10" s="1"/>
  <c r="B32" i="6" s="1"/>
  <c r="S14" i="9"/>
  <c r="V33" i="9"/>
  <c r="U33" i="9"/>
  <c r="Y33" i="9" s="1"/>
  <c r="S33" i="9"/>
  <c r="W33" i="9"/>
  <c r="T33" i="9"/>
  <c r="U28" i="9"/>
  <c r="Y28" i="9" s="1"/>
  <c r="T28" i="9"/>
  <c r="V28" i="9"/>
  <c r="S28" i="9"/>
  <c r="W45" i="9"/>
  <c r="S45" i="9"/>
  <c r="V45" i="9"/>
  <c r="U45" i="9"/>
  <c r="Y45" i="9" s="1"/>
  <c r="T45" i="9"/>
  <c r="V41" i="9"/>
  <c r="U41" i="9"/>
  <c r="Y41" i="9" s="1"/>
  <c r="S41" i="9"/>
  <c r="W41" i="9"/>
  <c r="T41" i="9"/>
  <c r="W59" i="9"/>
  <c r="U59" i="9"/>
  <c r="Y59" i="9" s="1"/>
  <c r="V59" i="9"/>
  <c r="T59" i="9"/>
  <c r="S59" i="9"/>
  <c r="V49" i="9"/>
  <c r="U49" i="9"/>
  <c r="Y49" i="9" s="1"/>
  <c r="S49" i="9"/>
  <c r="W49" i="9"/>
  <c r="T49" i="9"/>
  <c r="W61" i="9"/>
  <c r="S61" i="9"/>
  <c r="V61" i="9"/>
  <c r="U61" i="9"/>
  <c r="Y61" i="9" s="1"/>
  <c r="T61" i="9"/>
  <c r="U20" i="9"/>
  <c r="Y20" i="9" s="1"/>
  <c r="T20" i="9"/>
  <c r="S20" i="9"/>
  <c r="V20" i="9"/>
  <c r="U60" i="9"/>
  <c r="Y60" i="9" s="1"/>
  <c r="T60" i="9"/>
  <c r="S60" i="9"/>
  <c r="W60" i="9"/>
  <c r="V60" i="9"/>
  <c r="U9" i="9"/>
  <c r="Y9" i="9" s="1"/>
  <c r="T9" i="9"/>
  <c r="S9" i="9"/>
  <c r="T55" i="9"/>
  <c r="S55" i="9"/>
  <c r="W55" i="9"/>
  <c r="V55" i="9"/>
  <c r="U55" i="9"/>
  <c r="Y55" i="9" s="1"/>
  <c r="W43" i="9"/>
  <c r="U43" i="9"/>
  <c r="Y43" i="9" s="1"/>
  <c r="V43" i="9"/>
  <c r="T43" i="9"/>
  <c r="S43" i="9"/>
  <c r="W35" i="9"/>
  <c r="U35" i="9"/>
  <c r="Y35" i="9" s="1"/>
  <c r="G35" i="10" s="1"/>
  <c r="B35" i="6" s="1"/>
  <c r="T35" i="9"/>
  <c r="S35" i="9"/>
  <c r="V35" i="9"/>
  <c r="V17" i="9"/>
  <c r="U17" i="9"/>
  <c r="Y17" i="9" s="1"/>
  <c r="G18" i="10" s="1"/>
  <c r="B18" i="6" s="1"/>
  <c r="S17" i="9"/>
  <c r="T17" i="9"/>
  <c r="U52" i="9"/>
  <c r="Y52" i="9" s="1"/>
  <c r="T52" i="9"/>
  <c r="W52" i="9"/>
  <c r="V52" i="9"/>
  <c r="S52" i="9"/>
  <c r="T31" i="9"/>
  <c r="S31" i="9"/>
  <c r="V31" i="9"/>
  <c r="U31" i="9"/>
  <c r="Y31" i="9" s="1"/>
  <c r="W31" i="9"/>
  <c r="O38" i="12" l="1"/>
  <c r="O37" i="12"/>
  <c r="O62" i="12"/>
  <c r="O15" i="12"/>
  <c r="O46" i="12"/>
  <c r="BH46" i="12" s="1"/>
  <c r="O11" i="12"/>
  <c r="B11" i="6"/>
  <c r="O13" i="12"/>
  <c r="B13" i="6"/>
  <c r="BH19" i="12"/>
  <c r="AE19" i="12"/>
  <c r="BH16" i="12"/>
  <c r="AE16" i="12"/>
  <c r="BH64" i="12"/>
  <c r="AE64" i="12"/>
  <c r="BH62" i="12"/>
  <c r="AE62" i="12"/>
  <c r="BH38" i="12"/>
  <c r="AE38" i="12"/>
  <c r="BH15" i="12"/>
  <c r="AE15" i="12"/>
  <c r="BH23" i="12"/>
  <c r="AE23" i="12"/>
  <c r="BH37" i="12"/>
  <c r="AE37" i="12"/>
  <c r="S18" i="10"/>
  <c r="AL18" i="10"/>
  <c r="X13" i="9"/>
  <c r="U14" i="10"/>
  <c r="O14" i="12" s="1"/>
  <c r="X55" i="9"/>
  <c r="U55" i="10"/>
  <c r="X60" i="9"/>
  <c r="U60" i="10"/>
  <c r="X31" i="9"/>
  <c r="U31" i="10"/>
  <c r="X11" i="9"/>
  <c r="U12" i="10"/>
  <c r="X44" i="9"/>
  <c r="U44" i="10"/>
  <c r="O44" i="12" s="1"/>
  <c r="X26" i="9"/>
  <c r="U27" i="10"/>
  <c r="X33" i="9"/>
  <c r="U33" i="10"/>
  <c r="X34" i="9"/>
  <c r="U34" i="10"/>
  <c r="O34" i="12" s="1"/>
  <c r="X61" i="9"/>
  <c r="U61" i="10"/>
  <c r="X17" i="9"/>
  <c r="U18" i="10"/>
  <c r="O18" i="12" s="1"/>
  <c r="X43" i="9"/>
  <c r="U43" i="10"/>
  <c r="X20" i="9"/>
  <c r="U21" i="10"/>
  <c r="X59" i="9"/>
  <c r="U59" i="10"/>
  <c r="X58" i="9"/>
  <c r="U58" i="10"/>
  <c r="X48" i="9"/>
  <c r="U48" i="10"/>
  <c r="O48" i="12" s="1"/>
  <c r="X49" i="9"/>
  <c r="U49" i="10"/>
  <c r="X40" i="9"/>
  <c r="U40" i="10"/>
  <c r="O40" i="12" s="1"/>
  <c r="X30" i="9"/>
  <c r="U30" i="10"/>
  <c r="X28" i="9"/>
  <c r="U29" i="10"/>
  <c r="O29" i="12" s="1"/>
  <c r="X21" i="9"/>
  <c r="U22" i="10"/>
  <c r="O22" i="12" s="1"/>
  <c r="X39" i="9"/>
  <c r="U39" i="10"/>
  <c r="X41" i="9"/>
  <c r="U41" i="10"/>
  <c r="X52" i="9"/>
  <c r="U52" i="10"/>
  <c r="X35" i="9"/>
  <c r="U35" i="10"/>
  <c r="O35" i="12" s="1"/>
  <c r="X32" i="9"/>
  <c r="U32" i="10"/>
  <c r="O32" i="12" s="1"/>
  <c r="AE32" i="12" s="1"/>
  <c r="X42" i="9"/>
  <c r="U42" i="10"/>
  <c r="X36" i="9"/>
  <c r="U36" i="10"/>
  <c r="X45" i="9"/>
  <c r="U45" i="10"/>
  <c r="X53" i="9"/>
  <c r="U53" i="10"/>
  <c r="G20" i="10"/>
  <c r="B20" i="6" s="1"/>
  <c r="G43" i="10"/>
  <c r="B43" i="6" s="1"/>
  <c r="G29" i="10"/>
  <c r="B29" i="6" s="1"/>
  <c r="G57" i="10"/>
  <c r="B57" i="6" s="1"/>
  <c r="G42" i="10"/>
  <c r="B42" i="6" s="1"/>
  <c r="G12" i="10"/>
  <c r="B12" i="6" s="1"/>
  <c r="G53" i="10"/>
  <c r="B53" i="6" s="1"/>
  <c r="G27" i="10"/>
  <c r="B27" i="6" s="1"/>
  <c r="G54" i="10"/>
  <c r="B54" i="6" s="1"/>
  <c r="G30" i="10"/>
  <c r="B30" i="6" s="1"/>
  <c r="G40" i="10"/>
  <c r="B40" i="6" s="1"/>
  <c r="G45" i="10"/>
  <c r="B45" i="6" s="1"/>
  <c r="G39" i="10"/>
  <c r="B39" i="6" s="1"/>
  <c r="G52" i="10"/>
  <c r="B52" i="6" s="1"/>
  <c r="G21" i="10"/>
  <c r="B21" i="6" s="1"/>
  <c r="G36" i="10"/>
  <c r="B36" i="6" s="1"/>
  <c r="G58" i="10"/>
  <c r="B58" i="6" s="1"/>
  <c r="G59" i="10"/>
  <c r="B59" i="6" s="1"/>
  <c r="G22" i="10"/>
  <c r="B22" i="6" s="1"/>
  <c r="G63" i="10"/>
  <c r="B63" i="6" s="1"/>
  <c r="G31" i="10"/>
  <c r="B31" i="6" s="1"/>
  <c r="G49" i="10"/>
  <c r="B49" i="6" s="1"/>
  <c r="G33" i="10"/>
  <c r="B33" i="6" s="1"/>
  <c r="G24" i="10"/>
  <c r="B24" i="6" s="1"/>
  <c r="G26" i="10"/>
  <c r="B26" i="6" s="1"/>
  <c r="G50" i="10"/>
  <c r="B50" i="6" s="1"/>
  <c r="G51" i="10"/>
  <c r="B51" i="6" s="1"/>
  <c r="G17" i="10"/>
  <c r="B17" i="6" s="1"/>
  <c r="G47" i="10"/>
  <c r="B47" i="6" s="1"/>
  <c r="G25" i="10"/>
  <c r="B25" i="6" s="1"/>
  <c r="G60" i="10"/>
  <c r="B60" i="6" s="1"/>
  <c r="G10" i="10"/>
  <c r="G55" i="10"/>
  <c r="B55" i="6" s="1"/>
  <c r="G28" i="10"/>
  <c r="B28" i="6" s="1"/>
  <c r="G61" i="10"/>
  <c r="B61" i="6" s="1"/>
  <c r="G41" i="10"/>
  <c r="B41" i="6" s="1"/>
  <c r="G56" i="10"/>
  <c r="B56" i="6" s="1"/>
  <c r="A3" i="7"/>
  <c r="O53" i="12" l="1"/>
  <c r="O21" i="12"/>
  <c r="AE21" i="12" s="1"/>
  <c r="O33" i="12"/>
  <c r="O42" i="12"/>
  <c r="O58" i="12"/>
  <c r="AE58" i="12" s="1"/>
  <c r="O60" i="12"/>
  <c r="AE60" i="12" s="1"/>
  <c r="O26" i="12"/>
  <c r="AE46" i="12"/>
  <c r="O39" i="12"/>
  <c r="AE39" i="12" s="1"/>
  <c r="O61" i="12"/>
  <c r="BH61" i="12" s="1"/>
  <c r="O55" i="12"/>
  <c r="AE55" i="12" s="1"/>
  <c r="O56" i="12"/>
  <c r="BH56" i="12" s="1"/>
  <c r="O27" i="12"/>
  <c r="AE27" i="12" s="1"/>
  <c r="BH11" i="12"/>
  <c r="AE11" i="12"/>
  <c r="AE56" i="12"/>
  <c r="O24" i="12"/>
  <c r="O41" i="12"/>
  <c r="BH41" i="12" s="1"/>
  <c r="O59" i="12"/>
  <c r="BH59" i="12" s="1"/>
  <c r="O20" i="12"/>
  <c r="O47" i="12"/>
  <c r="O30" i="12"/>
  <c r="BH30" i="12" s="1"/>
  <c r="B10" i="6"/>
  <c r="O10" i="12"/>
  <c r="O12" i="12"/>
  <c r="AE12" i="12" s="1"/>
  <c r="BH13" i="12"/>
  <c r="AE13" i="12"/>
  <c r="O17" i="12"/>
  <c r="O63" i="12"/>
  <c r="O45" i="12"/>
  <c r="BH45" i="12" s="1"/>
  <c r="O49" i="12"/>
  <c r="BH49" i="12" s="1"/>
  <c r="O28" i="12"/>
  <c r="O51" i="12"/>
  <c r="O54" i="12"/>
  <c r="O52" i="12"/>
  <c r="AE52" i="12" s="1"/>
  <c r="O43" i="12"/>
  <c r="AE43" i="12" s="1"/>
  <c r="O31" i="12"/>
  <c r="BH31" i="12" s="1"/>
  <c r="O50" i="12"/>
  <c r="O57" i="12"/>
  <c r="O36" i="12"/>
  <c r="BH36" i="12" s="1"/>
  <c r="O25" i="12"/>
  <c r="BH22" i="12"/>
  <c r="AE22" i="12"/>
  <c r="BH34" i="12"/>
  <c r="AE34" i="12"/>
  <c r="BH33" i="12"/>
  <c r="AE33" i="12"/>
  <c r="BH52" i="12"/>
  <c r="BH27" i="12"/>
  <c r="BH35" i="12"/>
  <c r="AE35" i="12"/>
  <c r="BH14" i="12"/>
  <c r="AE14" i="12"/>
  <c r="BH29" i="12"/>
  <c r="AE29" i="12"/>
  <c r="BH42" i="12"/>
  <c r="AE42" i="12"/>
  <c r="BH18" i="12"/>
  <c r="AE18" i="12"/>
  <c r="BH60" i="12"/>
  <c r="BH48" i="12"/>
  <c r="AE48" i="12"/>
  <c r="BH53" i="12"/>
  <c r="AE53" i="12"/>
  <c r="BH40" i="12"/>
  <c r="AE40" i="12"/>
  <c r="BH44" i="12"/>
  <c r="AE44" i="12"/>
  <c r="BH55" i="12"/>
  <c r="BH21" i="12"/>
  <c r="BH58" i="12"/>
  <c r="BH32" i="12"/>
  <c r="AA47" i="9"/>
  <c r="AA38" i="9"/>
  <c r="X5" i="1"/>
  <c r="AI5" i="1" s="1"/>
  <c r="BF5" i="1" s="1"/>
  <c r="X6" i="1"/>
  <c r="BR6" i="1" s="1"/>
  <c r="X7" i="1"/>
  <c r="AI7" i="1" s="1"/>
  <c r="AT7" i="1" s="1"/>
  <c r="X8" i="1"/>
  <c r="AI8" i="1" s="1"/>
  <c r="AT8" i="1" s="1"/>
  <c r="X9" i="1"/>
  <c r="AI9" i="1" s="1"/>
  <c r="AT9" i="1" s="1"/>
  <c r="X10" i="1"/>
  <c r="BR10" i="1" s="1"/>
  <c r="X11" i="1"/>
  <c r="AI11" i="1" s="1"/>
  <c r="BF11" i="1" s="1"/>
  <c r="AK11" i="10" s="1"/>
  <c r="X12" i="1"/>
  <c r="BR12" i="1" s="1"/>
  <c r="X13" i="1"/>
  <c r="AI13" i="1" s="1"/>
  <c r="BF13" i="1" s="1"/>
  <c r="AK13" i="10" s="1"/>
  <c r="X14" i="1"/>
  <c r="BR14" i="1" s="1"/>
  <c r="X15" i="1"/>
  <c r="AI15" i="1" s="1"/>
  <c r="AT15" i="1" s="1"/>
  <c r="R15" i="10" s="1"/>
  <c r="D15" i="12" s="1"/>
  <c r="X16" i="1"/>
  <c r="BR16" i="1" s="1"/>
  <c r="X17" i="1"/>
  <c r="AI17" i="1" s="1"/>
  <c r="AT17" i="1" s="1"/>
  <c r="R17" i="10" s="1"/>
  <c r="D17" i="12" s="1"/>
  <c r="X18" i="1"/>
  <c r="BR18" i="1" s="1"/>
  <c r="X19" i="1"/>
  <c r="AI19" i="1" s="1"/>
  <c r="BF19" i="1" s="1"/>
  <c r="AK19" i="10" s="1"/>
  <c r="X20" i="1"/>
  <c r="BR20" i="1" s="1"/>
  <c r="X21" i="1"/>
  <c r="AI21" i="1" s="1"/>
  <c r="BF21" i="1" s="1"/>
  <c r="AK21" i="10" s="1"/>
  <c r="X22" i="1"/>
  <c r="BR22" i="1" s="1"/>
  <c r="X23" i="1"/>
  <c r="AI23" i="1" s="1"/>
  <c r="AT23" i="1" s="1"/>
  <c r="R23" i="10" s="1"/>
  <c r="D23" i="12" s="1"/>
  <c r="X24" i="1"/>
  <c r="AI24" i="1" s="1"/>
  <c r="AT24" i="1" s="1"/>
  <c r="R24" i="10" s="1"/>
  <c r="D24" i="12" s="1"/>
  <c r="X25" i="1"/>
  <c r="AI25" i="1" s="1"/>
  <c r="AT25" i="1" s="1"/>
  <c r="R25" i="10" s="1"/>
  <c r="D25" i="12" s="1"/>
  <c r="X26" i="1"/>
  <c r="BR26" i="1" s="1"/>
  <c r="X27" i="1"/>
  <c r="AI27" i="1" s="1"/>
  <c r="BF27" i="1" s="1"/>
  <c r="AK27" i="10" s="1"/>
  <c r="X28" i="1"/>
  <c r="BR28" i="1" s="1"/>
  <c r="X29" i="1"/>
  <c r="AI29" i="1" s="1"/>
  <c r="BF29" i="1" s="1"/>
  <c r="AK29" i="10" s="1"/>
  <c r="X30" i="1"/>
  <c r="BR30" i="1" s="1"/>
  <c r="X31" i="1"/>
  <c r="AI31" i="1" s="1"/>
  <c r="AT31" i="1" s="1"/>
  <c r="R31" i="10" s="1"/>
  <c r="D31" i="12" s="1"/>
  <c r="X32" i="1"/>
  <c r="BR32" i="1" s="1"/>
  <c r="X33" i="1"/>
  <c r="AI33" i="1" s="1"/>
  <c r="AT33" i="1" s="1"/>
  <c r="R33" i="10" s="1"/>
  <c r="D33" i="12" s="1"/>
  <c r="X34" i="1"/>
  <c r="BR34" i="1" s="1"/>
  <c r="X35" i="1"/>
  <c r="AI35" i="1" s="1"/>
  <c r="BF35" i="1" s="1"/>
  <c r="AK35" i="10" s="1"/>
  <c r="X36" i="1"/>
  <c r="BR36" i="1" s="1"/>
  <c r="X37" i="1"/>
  <c r="AI37" i="1" s="1"/>
  <c r="BF37" i="1" s="1"/>
  <c r="AK37" i="10" s="1"/>
  <c r="X38" i="1"/>
  <c r="BR38" i="1" s="1"/>
  <c r="X39" i="1"/>
  <c r="AI39" i="1" s="1"/>
  <c r="AT39" i="1" s="1"/>
  <c r="R39" i="10" s="1"/>
  <c r="D39" i="12" s="1"/>
  <c r="U39" i="12" s="1"/>
  <c r="X40" i="1"/>
  <c r="AI40" i="1" s="1"/>
  <c r="AT40" i="1" s="1"/>
  <c r="R40" i="10" s="1"/>
  <c r="D40" i="12" s="1"/>
  <c r="X41" i="1"/>
  <c r="AI41" i="1" s="1"/>
  <c r="AT41" i="1" s="1"/>
  <c r="R41" i="10" s="1"/>
  <c r="D41" i="12" s="1"/>
  <c r="X42" i="1"/>
  <c r="BR42" i="1" s="1"/>
  <c r="X43" i="1"/>
  <c r="AI43" i="1" s="1"/>
  <c r="BF43" i="1" s="1"/>
  <c r="AK43" i="10" s="1"/>
  <c r="X44" i="1"/>
  <c r="BR44" i="1" s="1"/>
  <c r="X45" i="1"/>
  <c r="AI45" i="1" s="1"/>
  <c r="BF45" i="1" s="1"/>
  <c r="AK45" i="10" s="1"/>
  <c r="X46" i="1"/>
  <c r="BR46" i="1" s="1"/>
  <c r="X47" i="1"/>
  <c r="AI47" i="1" s="1"/>
  <c r="AT47" i="1" s="1"/>
  <c r="R47" i="10" s="1"/>
  <c r="D47" i="12" s="1"/>
  <c r="U47" i="12" s="1"/>
  <c r="X48" i="1"/>
  <c r="BR48" i="1" s="1"/>
  <c r="X49" i="1"/>
  <c r="AI49" i="1" s="1"/>
  <c r="AT49" i="1" s="1"/>
  <c r="R49" i="10" s="1"/>
  <c r="D49" i="12" s="1"/>
  <c r="X50" i="1"/>
  <c r="BR50" i="1" s="1"/>
  <c r="X51" i="1"/>
  <c r="AI51" i="1" s="1"/>
  <c r="BF51" i="1" s="1"/>
  <c r="AK51" i="10" s="1"/>
  <c r="X52" i="1"/>
  <c r="BR52" i="1" s="1"/>
  <c r="X53" i="1"/>
  <c r="AI53" i="1" s="1"/>
  <c r="BF53" i="1" s="1"/>
  <c r="AK53" i="10" s="1"/>
  <c r="X54" i="1"/>
  <c r="BR54" i="1" s="1"/>
  <c r="X55" i="1"/>
  <c r="AI55" i="1" s="1"/>
  <c r="AT55" i="1" s="1"/>
  <c r="R55" i="10" s="1"/>
  <c r="D55" i="12" s="1"/>
  <c r="X56" i="1"/>
  <c r="AI56" i="1" s="1"/>
  <c r="AT56" i="1" s="1"/>
  <c r="R56" i="10" s="1"/>
  <c r="D56" i="12" s="1"/>
  <c r="U56" i="12" s="1"/>
  <c r="X57" i="1"/>
  <c r="AI57" i="1" s="1"/>
  <c r="AT57" i="1" s="1"/>
  <c r="R57" i="10" s="1"/>
  <c r="D57" i="12" s="1"/>
  <c r="X58" i="1"/>
  <c r="BR58" i="1" s="1"/>
  <c r="X59" i="1"/>
  <c r="AI59" i="1" s="1"/>
  <c r="BF59" i="1" s="1"/>
  <c r="AK59" i="10" s="1"/>
  <c r="X60" i="1"/>
  <c r="BR60" i="1" s="1"/>
  <c r="X61" i="1"/>
  <c r="AI61" i="1" s="1"/>
  <c r="BF61" i="1" s="1"/>
  <c r="AK61" i="10" s="1"/>
  <c r="X62" i="1"/>
  <c r="BR62" i="1" s="1"/>
  <c r="X63" i="1"/>
  <c r="AI63" i="1" s="1"/>
  <c r="AT63" i="1" s="1"/>
  <c r="R63" i="10" s="1"/>
  <c r="D63" i="12" s="1"/>
  <c r="X64" i="1"/>
  <c r="BR64" i="1" s="1"/>
  <c r="X4" i="1"/>
  <c r="AI4" i="1" s="1"/>
  <c r="AT4" i="1" s="1"/>
  <c r="W5" i="1"/>
  <c r="BQ5" i="1" s="1"/>
  <c r="W6" i="1"/>
  <c r="AH6" i="1" s="1"/>
  <c r="BE6" i="1" s="1"/>
  <c r="W7" i="1"/>
  <c r="BQ7" i="1" s="1"/>
  <c r="W8" i="1"/>
  <c r="AH8" i="1" s="1"/>
  <c r="BE8" i="1" s="1"/>
  <c r="W9" i="1"/>
  <c r="BQ9" i="1" s="1"/>
  <c r="W10" i="1"/>
  <c r="AH10" i="1" s="1"/>
  <c r="AS10" i="1" s="1"/>
  <c r="Q10" i="10" s="1"/>
  <c r="C10" i="12" s="1"/>
  <c r="T10" i="12" s="1"/>
  <c r="W11" i="1"/>
  <c r="AH11" i="1" s="1"/>
  <c r="AS11" i="1" s="1"/>
  <c r="Q11" i="10" s="1"/>
  <c r="C11" i="12" s="1"/>
  <c r="W12" i="1"/>
  <c r="AH12" i="1" s="1"/>
  <c r="AS12" i="1" s="1"/>
  <c r="Q12" i="10" s="1"/>
  <c r="C12" i="12" s="1"/>
  <c r="W13" i="1"/>
  <c r="BQ13" i="1" s="1"/>
  <c r="W14" i="1"/>
  <c r="AH14" i="1" s="1"/>
  <c r="BE14" i="1" s="1"/>
  <c r="AJ14" i="10" s="1"/>
  <c r="W15" i="1"/>
  <c r="BQ15" i="1" s="1"/>
  <c r="W16" i="1"/>
  <c r="AH16" i="1" s="1"/>
  <c r="BE16" i="1" s="1"/>
  <c r="AJ16" i="10" s="1"/>
  <c r="W17" i="1"/>
  <c r="BQ17" i="1" s="1"/>
  <c r="W18" i="1"/>
  <c r="AH18" i="1" s="1"/>
  <c r="AS18" i="1" s="1"/>
  <c r="Q18" i="10" s="1"/>
  <c r="C18" i="12" s="1"/>
  <c r="W19" i="1"/>
  <c r="BQ19" i="1" s="1"/>
  <c r="W20" i="1"/>
  <c r="AH20" i="1" s="1"/>
  <c r="AS20" i="1" s="1"/>
  <c r="Q20" i="10" s="1"/>
  <c r="C20" i="12" s="1"/>
  <c r="W21" i="1"/>
  <c r="BQ21" i="1" s="1"/>
  <c r="W22" i="1"/>
  <c r="AH22" i="1" s="1"/>
  <c r="BE22" i="1" s="1"/>
  <c r="AJ22" i="10" s="1"/>
  <c r="W23" i="1"/>
  <c r="BQ23" i="1" s="1"/>
  <c r="W24" i="1"/>
  <c r="AH24" i="1" s="1"/>
  <c r="BE24" i="1" s="1"/>
  <c r="AJ24" i="10" s="1"/>
  <c r="W25" i="1"/>
  <c r="BQ25" i="1" s="1"/>
  <c r="W26" i="1"/>
  <c r="AH26" i="1" s="1"/>
  <c r="AS26" i="1" s="1"/>
  <c r="Q26" i="10" s="1"/>
  <c r="C26" i="12" s="1"/>
  <c r="W27" i="1"/>
  <c r="AH27" i="1" s="1"/>
  <c r="AS27" i="1" s="1"/>
  <c r="Q27" i="10" s="1"/>
  <c r="C27" i="12" s="1"/>
  <c r="W28" i="1"/>
  <c r="AH28" i="1" s="1"/>
  <c r="AS28" i="1" s="1"/>
  <c r="Q28" i="10" s="1"/>
  <c r="C28" i="12" s="1"/>
  <c r="W29" i="1"/>
  <c r="BQ29" i="1" s="1"/>
  <c r="W30" i="1"/>
  <c r="AH30" i="1" s="1"/>
  <c r="BE30" i="1" s="1"/>
  <c r="AJ30" i="10" s="1"/>
  <c r="W31" i="1"/>
  <c r="BQ31" i="1" s="1"/>
  <c r="W32" i="1"/>
  <c r="AH32" i="1" s="1"/>
  <c r="BE32" i="1" s="1"/>
  <c r="AJ32" i="10" s="1"/>
  <c r="W33" i="1"/>
  <c r="BQ33" i="1" s="1"/>
  <c r="W34" i="1"/>
  <c r="AH34" i="1" s="1"/>
  <c r="AS34" i="1" s="1"/>
  <c r="Q34" i="10" s="1"/>
  <c r="C34" i="12" s="1"/>
  <c r="W35" i="1"/>
  <c r="BQ35" i="1" s="1"/>
  <c r="W36" i="1"/>
  <c r="AH36" i="1" s="1"/>
  <c r="AS36" i="1" s="1"/>
  <c r="Q36" i="10" s="1"/>
  <c r="C36" i="12" s="1"/>
  <c r="W37" i="1"/>
  <c r="BQ37" i="1" s="1"/>
  <c r="W38" i="1"/>
  <c r="AH38" i="1" s="1"/>
  <c r="BE38" i="1" s="1"/>
  <c r="AJ38" i="10" s="1"/>
  <c r="W39" i="1"/>
  <c r="BQ39" i="1" s="1"/>
  <c r="W40" i="1"/>
  <c r="AH40" i="1" s="1"/>
  <c r="BE40" i="1" s="1"/>
  <c r="AJ40" i="10" s="1"/>
  <c r="W41" i="1"/>
  <c r="BQ41" i="1" s="1"/>
  <c r="W42" i="1"/>
  <c r="AH42" i="1" s="1"/>
  <c r="AS42" i="1" s="1"/>
  <c r="Q42" i="10" s="1"/>
  <c r="C42" i="12" s="1"/>
  <c r="W43" i="1"/>
  <c r="AH43" i="1" s="1"/>
  <c r="AS43" i="1" s="1"/>
  <c r="Q43" i="10" s="1"/>
  <c r="C43" i="12" s="1"/>
  <c r="W44" i="1"/>
  <c r="AH44" i="1" s="1"/>
  <c r="AS44" i="1" s="1"/>
  <c r="Q44" i="10" s="1"/>
  <c r="C44" i="12" s="1"/>
  <c r="W45" i="1"/>
  <c r="BQ45" i="1" s="1"/>
  <c r="W46" i="1"/>
  <c r="AH46" i="1" s="1"/>
  <c r="BE46" i="1" s="1"/>
  <c r="AJ46" i="10" s="1"/>
  <c r="W47" i="1"/>
  <c r="BQ47" i="1" s="1"/>
  <c r="W48" i="1"/>
  <c r="AH48" i="1" s="1"/>
  <c r="BE48" i="1" s="1"/>
  <c r="AJ48" i="10" s="1"/>
  <c r="W49" i="1"/>
  <c r="BQ49" i="1" s="1"/>
  <c r="W50" i="1"/>
  <c r="AH50" i="1" s="1"/>
  <c r="AS50" i="1" s="1"/>
  <c r="Q50" i="10" s="1"/>
  <c r="C50" i="12" s="1"/>
  <c r="W51" i="1"/>
  <c r="BQ51" i="1" s="1"/>
  <c r="W52" i="1"/>
  <c r="AH52" i="1" s="1"/>
  <c r="AS52" i="1" s="1"/>
  <c r="Q52" i="10" s="1"/>
  <c r="C52" i="12" s="1"/>
  <c r="W53" i="1"/>
  <c r="BQ53" i="1" s="1"/>
  <c r="W54" i="1"/>
  <c r="AH54" i="1" s="1"/>
  <c r="BE54" i="1" s="1"/>
  <c r="AJ54" i="10" s="1"/>
  <c r="W55" i="1"/>
  <c r="BQ55" i="1" s="1"/>
  <c r="W56" i="1"/>
  <c r="AH56" i="1" s="1"/>
  <c r="BE56" i="1" s="1"/>
  <c r="AJ56" i="10" s="1"/>
  <c r="W57" i="1"/>
  <c r="BQ57" i="1" s="1"/>
  <c r="W58" i="1"/>
  <c r="AH58" i="1" s="1"/>
  <c r="AS58" i="1" s="1"/>
  <c r="Q58" i="10" s="1"/>
  <c r="C58" i="12" s="1"/>
  <c r="W59" i="1"/>
  <c r="AH59" i="1" s="1"/>
  <c r="AS59" i="1" s="1"/>
  <c r="Q59" i="10" s="1"/>
  <c r="C59" i="12" s="1"/>
  <c r="W60" i="1"/>
  <c r="AH60" i="1" s="1"/>
  <c r="AS60" i="1" s="1"/>
  <c r="Q60" i="10" s="1"/>
  <c r="W61" i="1"/>
  <c r="BQ61" i="1" s="1"/>
  <c r="W62" i="1"/>
  <c r="AH62" i="1" s="1"/>
  <c r="BE62" i="1" s="1"/>
  <c r="AJ62" i="10" s="1"/>
  <c r="W63" i="1"/>
  <c r="BQ63" i="1" s="1"/>
  <c r="W64" i="1"/>
  <c r="AH64" i="1" s="1"/>
  <c r="BE64" i="1" s="1"/>
  <c r="AJ64" i="10" s="1"/>
  <c r="W4" i="1"/>
  <c r="BQ4" i="1" s="1"/>
  <c r="V5" i="1"/>
  <c r="AG5" i="1" s="1"/>
  <c r="AR5" i="1" s="1"/>
  <c r="V6" i="1"/>
  <c r="AG6" i="1" s="1"/>
  <c r="AR6" i="1" s="1"/>
  <c r="V7" i="1"/>
  <c r="AG7" i="1" s="1"/>
  <c r="AR7" i="1" s="1"/>
  <c r="V8" i="1"/>
  <c r="BP8" i="1" s="1"/>
  <c r="V9" i="1"/>
  <c r="AG9" i="1" s="1"/>
  <c r="BD9" i="1" s="1"/>
  <c r="V10" i="1"/>
  <c r="BP10" i="1" s="1"/>
  <c r="V11" i="1"/>
  <c r="AG11" i="1" s="1"/>
  <c r="BD11" i="1" s="1"/>
  <c r="AI11" i="10" s="1"/>
  <c r="V12" i="1"/>
  <c r="BP12" i="1" s="1"/>
  <c r="V13" i="1"/>
  <c r="AG13" i="1" s="1"/>
  <c r="AR13" i="1" s="1"/>
  <c r="P13" i="10" s="1"/>
  <c r="B13" i="12" s="1"/>
  <c r="V14" i="1"/>
  <c r="AG14" i="1" s="1"/>
  <c r="AR14" i="1" s="1"/>
  <c r="P14" i="10" s="1"/>
  <c r="B14" i="12" s="1"/>
  <c r="V15" i="1"/>
  <c r="AG15" i="1" s="1"/>
  <c r="AR15" i="1" s="1"/>
  <c r="P15" i="10" s="1"/>
  <c r="B15" i="12" s="1"/>
  <c r="V16" i="1"/>
  <c r="BP16" i="1" s="1"/>
  <c r="V17" i="1"/>
  <c r="AG17" i="1" s="1"/>
  <c r="BD17" i="1" s="1"/>
  <c r="AI17" i="10" s="1"/>
  <c r="V18" i="1"/>
  <c r="BP18" i="1" s="1"/>
  <c r="V19" i="1"/>
  <c r="AG19" i="1" s="1"/>
  <c r="BD19" i="1" s="1"/>
  <c r="AI19" i="10" s="1"/>
  <c r="V20" i="1"/>
  <c r="BP20" i="1" s="1"/>
  <c r="V21" i="1"/>
  <c r="AG21" i="1" s="1"/>
  <c r="AR21" i="1" s="1"/>
  <c r="P21" i="10" s="1"/>
  <c r="B21" i="12" s="1"/>
  <c r="S21" i="12" s="1"/>
  <c r="V22" i="1"/>
  <c r="AG22" i="1" s="1"/>
  <c r="AR22" i="1" s="1"/>
  <c r="P22" i="10" s="1"/>
  <c r="B22" i="12" s="1"/>
  <c r="V23" i="1"/>
  <c r="AG23" i="1" s="1"/>
  <c r="AR23" i="1" s="1"/>
  <c r="P23" i="10" s="1"/>
  <c r="B23" i="12" s="1"/>
  <c r="V24" i="1"/>
  <c r="BP24" i="1" s="1"/>
  <c r="V25" i="1"/>
  <c r="AG25" i="1" s="1"/>
  <c r="BD25" i="1" s="1"/>
  <c r="AI25" i="10" s="1"/>
  <c r="V26" i="1"/>
  <c r="BP26" i="1" s="1"/>
  <c r="V27" i="1"/>
  <c r="AG27" i="1" s="1"/>
  <c r="BD27" i="1" s="1"/>
  <c r="AI27" i="10" s="1"/>
  <c r="V28" i="1"/>
  <c r="BP28" i="1" s="1"/>
  <c r="V29" i="1"/>
  <c r="AG29" i="1" s="1"/>
  <c r="AR29" i="1" s="1"/>
  <c r="P29" i="10" s="1"/>
  <c r="B29" i="12" s="1"/>
  <c r="V30" i="1"/>
  <c r="AG30" i="1" s="1"/>
  <c r="AR30" i="1" s="1"/>
  <c r="P30" i="10" s="1"/>
  <c r="B30" i="12" s="1"/>
  <c r="S30" i="12" s="1"/>
  <c r="V31" i="1"/>
  <c r="AG31" i="1" s="1"/>
  <c r="AR31" i="1" s="1"/>
  <c r="P31" i="10" s="1"/>
  <c r="B31" i="12" s="1"/>
  <c r="V32" i="1"/>
  <c r="BP32" i="1" s="1"/>
  <c r="V33" i="1"/>
  <c r="AG33" i="1" s="1"/>
  <c r="BD33" i="1" s="1"/>
  <c r="AI33" i="10" s="1"/>
  <c r="V34" i="1"/>
  <c r="BP34" i="1" s="1"/>
  <c r="V35" i="1"/>
  <c r="AG35" i="1" s="1"/>
  <c r="BD35" i="1" s="1"/>
  <c r="AI35" i="10" s="1"/>
  <c r="V36" i="1"/>
  <c r="BP36" i="1" s="1"/>
  <c r="V37" i="1"/>
  <c r="AG37" i="1" s="1"/>
  <c r="AR37" i="1" s="1"/>
  <c r="P37" i="10" s="1"/>
  <c r="B37" i="12" s="1"/>
  <c r="V38" i="1"/>
  <c r="AG38" i="1" s="1"/>
  <c r="AR38" i="1" s="1"/>
  <c r="P38" i="10" s="1"/>
  <c r="B38" i="12" s="1"/>
  <c r="V39" i="1"/>
  <c r="AG39" i="1" s="1"/>
  <c r="AR39" i="1" s="1"/>
  <c r="P39" i="10" s="1"/>
  <c r="B39" i="12" s="1"/>
  <c r="S39" i="12" s="1"/>
  <c r="V40" i="1"/>
  <c r="BP40" i="1" s="1"/>
  <c r="V41" i="1"/>
  <c r="AG41" i="1" s="1"/>
  <c r="BD41" i="1" s="1"/>
  <c r="AI41" i="10" s="1"/>
  <c r="V42" i="1"/>
  <c r="BP42" i="1" s="1"/>
  <c r="V43" i="1"/>
  <c r="AG43" i="1" s="1"/>
  <c r="BD43" i="1" s="1"/>
  <c r="AI43" i="10" s="1"/>
  <c r="V44" i="1"/>
  <c r="BP44" i="1" s="1"/>
  <c r="V45" i="1"/>
  <c r="AG45" i="1" s="1"/>
  <c r="AR45" i="1" s="1"/>
  <c r="P45" i="10" s="1"/>
  <c r="B45" i="12" s="1"/>
  <c r="V46" i="1"/>
  <c r="AG46" i="1" s="1"/>
  <c r="AR46" i="1" s="1"/>
  <c r="P46" i="10" s="1"/>
  <c r="B46" i="12" s="1"/>
  <c r="V47" i="1"/>
  <c r="AG47" i="1" s="1"/>
  <c r="AR47" i="1" s="1"/>
  <c r="P47" i="10" s="1"/>
  <c r="B47" i="12" s="1"/>
  <c r="S47" i="12" s="1"/>
  <c r="V48" i="1"/>
  <c r="BP48" i="1" s="1"/>
  <c r="V49" i="1"/>
  <c r="AG49" i="1" s="1"/>
  <c r="BD49" i="1" s="1"/>
  <c r="AI49" i="10" s="1"/>
  <c r="V50" i="1"/>
  <c r="BP50" i="1" s="1"/>
  <c r="V51" i="1"/>
  <c r="AG51" i="1" s="1"/>
  <c r="BD51" i="1" s="1"/>
  <c r="AI51" i="10" s="1"/>
  <c r="V52" i="1"/>
  <c r="BP52" i="1" s="1"/>
  <c r="V53" i="1"/>
  <c r="AG53" i="1" s="1"/>
  <c r="AR53" i="1" s="1"/>
  <c r="P53" i="10" s="1"/>
  <c r="B53" i="12" s="1"/>
  <c r="V54" i="1"/>
  <c r="AG54" i="1" s="1"/>
  <c r="AR54" i="1" s="1"/>
  <c r="P54" i="10" s="1"/>
  <c r="B54" i="12" s="1"/>
  <c r="V55" i="1"/>
  <c r="AG55" i="1" s="1"/>
  <c r="AR55" i="1" s="1"/>
  <c r="P55" i="10" s="1"/>
  <c r="B55" i="12" s="1"/>
  <c r="V56" i="1"/>
  <c r="BP56" i="1" s="1"/>
  <c r="V57" i="1"/>
  <c r="AG57" i="1" s="1"/>
  <c r="BD57" i="1" s="1"/>
  <c r="AI57" i="10" s="1"/>
  <c r="V58" i="1"/>
  <c r="BP58" i="1" s="1"/>
  <c r="V59" i="1"/>
  <c r="AG59" i="1" s="1"/>
  <c r="BD59" i="1" s="1"/>
  <c r="AI59" i="10" s="1"/>
  <c r="V60" i="1"/>
  <c r="BP60" i="1" s="1"/>
  <c r="V61" i="1"/>
  <c r="AG61" i="1" s="1"/>
  <c r="AR61" i="1" s="1"/>
  <c r="P61" i="10" s="1"/>
  <c r="B61" i="12" s="1"/>
  <c r="V62" i="1"/>
  <c r="AG62" i="1" s="1"/>
  <c r="AR62" i="1" s="1"/>
  <c r="P62" i="10" s="1"/>
  <c r="B62" i="12" s="1"/>
  <c r="V63" i="1"/>
  <c r="AG63" i="1" s="1"/>
  <c r="AR63" i="1" s="1"/>
  <c r="P63" i="10" s="1"/>
  <c r="B63" i="12" s="1"/>
  <c r="V64" i="1"/>
  <c r="BP64" i="1" s="1"/>
  <c r="V4" i="1"/>
  <c r="AG4" i="1" s="1"/>
  <c r="BD4" i="1" s="1"/>
  <c r="L4" i="5"/>
  <c r="AH4" i="5" s="1"/>
  <c r="K4" i="5"/>
  <c r="P4" i="5" s="1"/>
  <c r="U4" i="5" s="1"/>
  <c r="J4" i="5"/>
  <c r="O4" i="5" s="1"/>
  <c r="T4" i="5" s="1"/>
  <c r="U5" i="1"/>
  <c r="BO5" i="1" s="1"/>
  <c r="U6" i="1"/>
  <c r="BO6" i="1" s="1"/>
  <c r="U7" i="1"/>
  <c r="BO7" i="1" s="1"/>
  <c r="U8" i="1"/>
  <c r="BO8" i="1" s="1"/>
  <c r="U9" i="1"/>
  <c r="U10" i="1"/>
  <c r="U11" i="1"/>
  <c r="U12" i="1"/>
  <c r="AF12" i="1" s="1"/>
  <c r="U13" i="1"/>
  <c r="BO13" i="1" s="1"/>
  <c r="U14" i="1"/>
  <c r="BO14" i="1" s="1"/>
  <c r="U15" i="1"/>
  <c r="BO15" i="1" s="1"/>
  <c r="U16" i="1"/>
  <c r="BO16" i="1" s="1"/>
  <c r="U17" i="1"/>
  <c r="BO17" i="1" s="1"/>
  <c r="U18" i="1"/>
  <c r="U19" i="1"/>
  <c r="AF19" i="1" s="1"/>
  <c r="AQ19" i="1" s="1"/>
  <c r="O19" i="10" s="1"/>
  <c r="N19" i="12" s="1"/>
  <c r="U20" i="1"/>
  <c r="BO20" i="1" s="1"/>
  <c r="U21" i="1"/>
  <c r="BO21" i="1" s="1"/>
  <c r="U22" i="1"/>
  <c r="BO22" i="1" s="1"/>
  <c r="U23" i="1"/>
  <c r="BO23" i="1" s="1"/>
  <c r="U24" i="1"/>
  <c r="U25" i="1"/>
  <c r="BO25" i="1" s="1"/>
  <c r="U26" i="1"/>
  <c r="U27" i="1"/>
  <c r="BO27" i="1" s="1"/>
  <c r="U28" i="1"/>
  <c r="AF28" i="1" s="1"/>
  <c r="U29" i="1"/>
  <c r="BO29" i="1" s="1"/>
  <c r="U30" i="1"/>
  <c r="BO30" i="1" s="1"/>
  <c r="U31" i="1"/>
  <c r="BO31" i="1" s="1"/>
  <c r="U32" i="1"/>
  <c r="U33" i="1"/>
  <c r="U34" i="1"/>
  <c r="BO34" i="1" s="1"/>
  <c r="U35" i="1"/>
  <c r="BO35" i="1" s="1"/>
  <c r="U36" i="1"/>
  <c r="BO36" i="1" s="1"/>
  <c r="U37" i="1"/>
  <c r="AF37" i="1" s="1"/>
  <c r="U38" i="1"/>
  <c r="BO38" i="1" s="1"/>
  <c r="U39" i="1"/>
  <c r="BO39" i="1" s="1"/>
  <c r="U40" i="1"/>
  <c r="U41" i="1"/>
  <c r="U42" i="1"/>
  <c r="BO42" i="1" s="1"/>
  <c r="U43" i="1"/>
  <c r="BO43" i="1" s="1"/>
  <c r="U44" i="1"/>
  <c r="BO44" i="1" s="1"/>
  <c r="U45" i="1"/>
  <c r="BO45" i="1" s="1"/>
  <c r="U46" i="1"/>
  <c r="BO46" i="1" s="1"/>
  <c r="U47" i="1"/>
  <c r="AF47" i="1" s="1"/>
  <c r="BC47" i="1" s="1"/>
  <c r="AH47" i="10" s="1"/>
  <c r="U48" i="1"/>
  <c r="U49" i="1"/>
  <c r="U50" i="1"/>
  <c r="BO50" i="1" s="1"/>
  <c r="U51" i="1"/>
  <c r="BO51" i="1" s="1"/>
  <c r="U52" i="1"/>
  <c r="BO52" i="1" s="1"/>
  <c r="U53" i="1"/>
  <c r="BO53" i="1" s="1"/>
  <c r="U54" i="1"/>
  <c r="AF54" i="1" s="1"/>
  <c r="U55" i="1"/>
  <c r="AF55" i="1" s="1"/>
  <c r="BC55" i="1" s="1"/>
  <c r="AH55" i="10" s="1"/>
  <c r="U56" i="1"/>
  <c r="U57" i="1"/>
  <c r="U58" i="1"/>
  <c r="BO58" i="1" s="1"/>
  <c r="U59" i="1"/>
  <c r="BO59" i="1" s="1"/>
  <c r="U60" i="1"/>
  <c r="BO60" i="1" s="1"/>
  <c r="U61" i="1"/>
  <c r="BO61" i="1" s="1"/>
  <c r="U62" i="1"/>
  <c r="BO62" i="1" s="1"/>
  <c r="U63" i="1"/>
  <c r="BO63" i="1" s="1"/>
  <c r="U64" i="1"/>
  <c r="U4" i="1"/>
  <c r="T5" i="1"/>
  <c r="BN5" i="1" s="1"/>
  <c r="T6" i="1"/>
  <c r="BN6" i="1" s="1"/>
  <c r="T7" i="1"/>
  <c r="BN7" i="1" s="1"/>
  <c r="T8" i="1"/>
  <c r="BN8" i="1" s="1"/>
  <c r="T9" i="1"/>
  <c r="AE9" i="1" s="1"/>
  <c r="BB9" i="1" s="1"/>
  <c r="T10" i="1"/>
  <c r="BN10" i="1" s="1"/>
  <c r="T11" i="1"/>
  <c r="T12" i="1"/>
  <c r="T13" i="1"/>
  <c r="BN13" i="1" s="1"/>
  <c r="T14" i="1"/>
  <c r="BN14" i="1" s="1"/>
  <c r="T15" i="1"/>
  <c r="BN15" i="1" s="1"/>
  <c r="T16" i="1"/>
  <c r="AE16" i="1" s="1"/>
  <c r="BB16" i="1" s="1"/>
  <c r="AG16" i="10" s="1"/>
  <c r="T17" i="1"/>
  <c r="BN17" i="1" s="1"/>
  <c r="T18" i="1"/>
  <c r="BN18" i="1" s="1"/>
  <c r="T19" i="1"/>
  <c r="T20" i="1"/>
  <c r="T21" i="1"/>
  <c r="BN21" i="1" s="1"/>
  <c r="T22" i="1"/>
  <c r="BN22" i="1" s="1"/>
  <c r="T23" i="1"/>
  <c r="BN23" i="1" s="1"/>
  <c r="T24" i="1"/>
  <c r="BN24" i="1" s="1"/>
  <c r="T25" i="1"/>
  <c r="AE25" i="1" s="1"/>
  <c r="T26" i="1"/>
  <c r="BN26" i="1" s="1"/>
  <c r="T27" i="1"/>
  <c r="T28" i="1"/>
  <c r="T29" i="1"/>
  <c r="BN29" i="1" s="1"/>
  <c r="T30" i="1"/>
  <c r="AE30" i="1" s="1"/>
  <c r="T31" i="1"/>
  <c r="BN31" i="1" s="1"/>
  <c r="T32" i="1"/>
  <c r="AE32" i="1" s="1"/>
  <c r="T33" i="1"/>
  <c r="BN33" i="1" s="1"/>
  <c r="T34" i="1"/>
  <c r="BN34" i="1" s="1"/>
  <c r="T35" i="1"/>
  <c r="T36" i="1"/>
  <c r="T37" i="1"/>
  <c r="BN37" i="1" s="1"/>
  <c r="T38" i="1"/>
  <c r="BN38" i="1" s="1"/>
  <c r="T39" i="1"/>
  <c r="BN39" i="1" s="1"/>
  <c r="T40" i="1"/>
  <c r="BN40" i="1" s="1"/>
  <c r="T41" i="1"/>
  <c r="BN41" i="1" s="1"/>
  <c r="T42" i="1"/>
  <c r="AE42" i="1" s="1"/>
  <c r="T43" i="1"/>
  <c r="T44" i="1"/>
  <c r="T45" i="1"/>
  <c r="BN45" i="1" s="1"/>
  <c r="T46" i="1"/>
  <c r="BN46" i="1" s="1"/>
  <c r="T47" i="1"/>
  <c r="AE47" i="1" s="1"/>
  <c r="T48" i="1"/>
  <c r="AE48" i="1" s="1"/>
  <c r="T49" i="1"/>
  <c r="AE49" i="1" s="1"/>
  <c r="BB49" i="1" s="1"/>
  <c r="AG49" i="10" s="1"/>
  <c r="T50" i="1"/>
  <c r="AE50" i="1" s="1"/>
  <c r="BB50" i="1" s="1"/>
  <c r="AG50" i="10" s="1"/>
  <c r="T51" i="1"/>
  <c r="T52" i="1"/>
  <c r="T53" i="1"/>
  <c r="BN53" i="1" s="1"/>
  <c r="T54" i="1"/>
  <c r="BN54" i="1" s="1"/>
  <c r="T55" i="1"/>
  <c r="BN55" i="1" s="1"/>
  <c r="T56" i="1"/>
  <c r="BN56" i="1" s="1"/>
  <c r="T57" i="1"/>
  <c r="BN57" i="1" s="1"/>
  <c r="T58" i="1"/>
  <c r="BN58" i="1" s="1"/>
  <c r="T59" i="1"/>
  <c r="T60" i="1"/>
  <c r="T61" i="1"/>
  <c r="BN61" i="1" s="1"/>
  <c r="T62" i="1"/>
  <c r="BN62" i="1" s="1"/>
  <c r="T63" i="1"/>
  <c r="BN63" i="1" s="1"/>
  <c r="T64" i="1"/>
  <c r="BN64" i="1" s="1"/>
  <c r="T4" i="1"/>
  <c r="BN4" i="1" s="1"/>
  <c r="S5" i="1"/>
  <c r="BM5" i="1" s="1"/>
  <c r="S6" i="1"/>
  <c r="S7" i="1"/>
  <c r="S8" i="1"/>
  <c r="BM8" i="1" s="1"/>
  <c r="S9" i="1"/>
  <c r="BM9" i="1" s="1"/>
  <c r="S10" i="1"/>
  <c r="BM10" i="1" s="1"/>
  <c r="S11" i="1"/>
  <c r="AD11" i="1" s="1"/>
  <c r="S12" i="1"/>
  <c r="BM12" i="1" s="1"/>
  <c r="S13" i="1"/>
  <c r="BM13" i="1" s="1"/>
  <c r="S14" i="1"/>
  <c r="S15" i="1"/>
  <c r="S16" i="1"/>
  <c r="BM16" i="1" s="1"/>
  <c r="S17" i="1"/>
  <c r="BM17" i="1" s="1"/>
  <c r="S18" i="1"/>
  <c r="BM18" i="1" s="1"/>
  <c r="S19" i="1"/>
  <c r="BM19" i="1" s="1"/>
  <c r="S20" i="1"/>
  <c r="AD20" i="1" s="1"/>
  <c r="BA20" i="1" s="1"/>
  <c r="AF20" i="10" s="1"/>
  <c r="S21" i="1"/>
  <c r="BM21" i="1" s="1"/>
  <c r="S22" i="1"/>
  <c r="S23" i="1"/>
  <c r="S24" i="1"/>
  <c r="BM24" i="1" s="1"/>
  <c r="S25" i="1"/>
  <c r="BM25" i="1" s="1"/>
  <c r="S26" i="1"/>
  <c r="BM26" i="1" s="1"/>
  <c r="S27" i="1"/>
  <c r="BM27" i="1" s="1"/>
  <c r="S28" i="1"/>
  <c r="AD28" i="1" s="1"/>
  <c r="S29" i="1"/>
  <c r="AD29" i="1" s="1"/>
  <c r="BA29" i="1" s="1"/>
  <c r="AF29" i="10" s="1"/>
  <c r="S30" i="1"/>
  <c r="S31" i="1"/>
  <c r="S32" i="1"/>
  <c r="BM32" i="1" s="1"/>
  <c r="S33" i="1"/>
  <c r="BM33" i="1" s="1"/>
  <c r="S34" i="1"/>
  <c r="BM34" i="1" s="1"/>
  <c r="S35" i="1"/>
  <c r="BM35" i="1" s="1"/>
  <c r="S36" i="1"/>
  <c r="BM36" i="1" s="1"/>
  <c r="S37" i="1"/>
  <c r="BM37" i="1" s="1"/>
  <c r="S38" i="1"/>
  <c r="S39" i="1"/>
  <c r="BM39" i="1" s="1"/>
  <c r="S40" i="1"/>
  <c r="BM40" i="1" s="1"/>
  <c r="S41" i="1"/>
  <c r="BM41" i="1" s="1"/>
  <c r="S42" i="1"/>
  <c r="BM42" i="1" s="1"/>
  <c r="S43" i="1"/>
  <c r="BM43" i="1" s="1"/>
  <c r="S44" i="1"/>
  <c r="AD44" i="1" s="1"/>
  <c r="BA44" i="1" s="1"/>
  <c r="AF44" i="10" s="1"/>
  <c r="S45" i="1"/>
  <c r="AD45" i="1" s="1"/>
  <c r="AO45" i="1" s="1"/>
  <c r="M45" i="10" s="1"/>
  <c r="L45" i="12" s="1"/>
  <c r="S46" i="1"/>
  <c r="S47" i="1"/>
  <c r="BM47" i="1" s="1"/>
  <c r="S48" i="1"/>
  <c r="BM48" i="1" s="1"/>
  <c r="S49" i="1"/>
  <c r="BM49" i="1" s="1"/>
  <c r="S50" i="1"/>
  <c r="BM50" i="1" s="1"/>
  <c r="S51" i="1"/>
  <c r="BM51" i="1" s="1"/>
  <c r="S52" i="1"/>
  <c r="BM52" i="1" s="1"/>
  <c r="S53" i="1"/>
  <c r="BM53" i="1" s="1"/>
  <c r="S54" i="1"/>
  <c r="S55" i="1"/>
  <c r="BM55" i="1" s="1"/>
  <c r="S56" i="1"/>
  <c r="BM56" i="1" s="1"/>
  <c r="S57" i="1"/>
  <c r="BM57" i="1" s="1"/>
  <c r="S58" i="1"/>
  <c r="BM58" i="1" s="1"/>
  <c r="S59" i="1"/>
  <c r="BM59" i="1" s="1"/>
  <c r="S60" i="1"/>
  <c r="AD60" i="1" s="1"/>
  <c r="S61" i="1"/>
  <c r="AD61" i="1" s="1"/>
  <c r="AO61" i="1" s="1"/>
  <c r="M61" i="10" s="1"/>
  <c r="L61" i="12" s="1"/>
  <c r="S62" i="1"/>
  <c r="S63" i="1"/>
  <c r="BM63" i="1" s="1"/>
  <c r="S64" i="1"/>
  <c r="BM64" i="1" s="1"/>
  <c r="S4" i="1"/>
  <c r="BM4" i="1" s="1"/>
  <c r="R5" i="1"/>
  <c r="BL5" i="1" s="1"/>
  <c r="R6" i="1"/>
  <c r="AC6" i="1" s="1"/>
  <c r="R7" i="1"/>
  <c r="BL7" i="1" s="1"/>
  <c r="R8" i="1"/>
  <c r="BL8" i="1" s="1"/>
  <c r="R9" i="1"/>
  <c r="R10" i="1"/>
  <c r="BL10" i="1" s="1"/>
  <c r="R11" i="1"/>
  <c r="BL11" i="1" s="1"/>
  <c r="R12" i="1"/>
  <c r="BL12" i="1" s="1"/>
  <c r="R13" i="1"/>
  <c r="BL13" i="1" s="1"/>
  <c r="R14" i="1"/>
  <c r="BL14" i="1" s="1"/>
  <c r="R15" i="1"/>
  <c r="AC15" i="1" s="1"/>
  <c r="AZ15" i="1" s="1"/>
  <c r="AE15" i="10" s="1"/>
  <c r="R16" i="1"/>
  <c r="BL16" i="1" s="1"/>
  <c r="R17" i="1"/>
  <c r="R18" i="1"/>
  <c r="BL18" i="1" s="1"/>
  <c r="R19" i="1"/>
  <c r="BL19" i="1" s="1"/>
  <c r="R20" i="1"/>
  <c r="BL20" i="1" s="1"/>
  <c r="R21" i="1"/>
  <c r="BL21" i="1" s="1"/>
  <c r="R22" i="1"/>
  <c r="AC22" i="1" s="1"/>
  <c r="AZ22" i="1" s="1"/>
  <c r="AE22" i="10" s="1"/>
  <c r="R23" i="1"/>
  <c r="AC23" i="1" s="1"/>
  <c r="AZ23" i="1" s="1"/>
  <c r="AE23" i="10" s="1"/>
  <c r="R24" i="1"/>
  <c r="AC24" i="1" s="1"/>
  <c r="AZ24" i="1" s="1"/>
  <c r="AE24" i="10" s="1"/>
  <c r="R25" i="1"/>
  <c r="R26" i="1"/>
  <c r="BL26" i="1" s="1"/>
  <c r="R27" i="1"/>
  <c r="BL27" i="1" s="1"/>
  <c r="R28" i="1"/>
  <c r="BL28" i="1" s="1"/>
  <c r="R29" i="1"/>
  <c r="BL29" i="1" s="1"/>
  <c r="R30" i="1"/>
  <c r="BL30" i="1" s="1"/>
  <c r="R31" i="1"/>
  <c r="AC31" i="1" s="1"/>
  <c r="R32" i="1"/>
  <c r="BL32" i="1" s="1"/>
  <c r="R33" i="1"/>
  <c r="R34" i="1"/>
  <c r="BL34" i="1" s="1"/>
  <c r="R35" i="1"/>
  <c r="BL35" i="1" s="1"/>
  <c r="R36" i="1"/>
  <c r="BL36" i="1" s="1"/>
  <c r="R37" i="1"/>
  <c r="BL37" i="1" s="1"/>
  <c r="R38" i="1"/>
  <c r="AC38" i="1" s="1"/>
  <c r="AN38" i="1" s="1"/>
  <c r="L38" i="10" s="1"/>
  <c r="K38" i="12" s="1"/>
  <c r="R39" i="1"/>
  <c r="BL39" i="1" s="1"/>
  <c r="R40" i="1"/>
  <c r="BL40" i="1" s="1"/>
  <c r="R41" i="1"/>
  <c r="R42" i="1"/>
  <c r="BL42" i="1" s="1"/>
  <c r="R43" i="1"/>
  <c r="BL43" i="1" s="1"/>
  <c r="R44" i="1"/>
  <c r="BL44" i="1" s="1"/>
  <c r="R45" i="1"/>
  <c r="BL45" i="1" s="1"/>
  <c r="R46" i="1"/>
  <c r="BL46" i="1" s="1"/>
  <c r="R47" i="1"/>
  <c r="BL47" i="1" s="1"/>
  <c r="R48" i="1"/>
  <c r="BL48" i="1" s="1"/>
  <c r="R49" i="1"/>
  <c r="R50" i="1"/>
  <c r="BL50" i="1" s="1"/>
  <c r="R51" i="1"/>
  <c r="BL51" i="1" s="1"/>
  <c r="R52" i="1"/>
  <c r="BL52" i="1" s="1"/>
  <c r="R53" i="1"/>
  <c r="BL53" i="1" s="1"/>
  <c r="R54" i="1"/>
  <c r="BL54" i="1" s="1"/>
  <c r="R55" i="1"/>
  <c r="AC55" i="1" s="1"/>
  <c r="AZ55" i="1" s="1"/>
  <c r="AE55" i="10" s="1"/>
  <c r="R56" i="1"/>
  <c r="AC56" i="1" s="1"/>
  <c r="AZ56" i="1" s="1"/>
  <c r="AE56" i="10" s="1"/>
  <c r="R57" i="1"/>
  <c r="R58" i="1"/>
  <c r="BL58" i="1" s="1"/>
  <c r="R59" i="1"/>
  <c r="AC59" i="1" s="1"/>
  <c r="AN59" i="1" s="1"/>
  <c r="L59" i="10" s="1"/>
  <c r="K59" i="12" s="1"/>
  <c r="R60" i="1"/>
  <c r="BL60" i="1" s="1"/>
  <c r="R61" i="1"/>
  <c r="BL61" i="1" s="1"/>
  <c r="R62" i="1"/>
  <c r="BL62" i="1" s="1"/>
  <c r="R63" i="1"/>
  <c r="BL63" i="1" s="1"/>
  <c r="R64" i="1"/>
  <c r="AC64" i="1" s="1"/>
  <c r="AZ64" i="1" s="1"/>
  <c r="AE64" i="10" s="1"/>
  <c r="R4" i="1"/>
  <c r="Q5" i="1"/>
  <c r="BK5" i="1" s="1"/>
  <c r="Q6" i="1"/>
  <c r="BK6" i="1" s="1"/>
  <c r="Q7" i="1"/>
  <c r="BK7" i="1" s="1"/>
  <c r="Q8" i="1"/>
  <c r="BK8" i="1" s="1"/>
  <c r="Q9" i="1"/>
  <c r="AB9" i="1" s="1"/>
  <c r="AM9" i="1" s="1"/>
  <c r="Q10" i="1"/>
  <c r="BK10" i="1" s="1"/>
  <c r="Q11" i="1"/>
  <c r="BK11" i="1" s="1"/>
  <c r="Q12" i="1"/>
  <c r="Q13" i="1"/>
  <c r="BK13" i="1" s="1"/>
  <c r="Q14" i="1"/>
  <c r="AB14" i="1" s="1"/>
  <c r="Q15" i="1"/>
  <c r="BK15" i="1" s="1"/>
  <c r="Q16" i="1"/>
  <c r="BK16" i="1" s="1"/>
  <c r="Q17" i="1"/>
  <c r="BK17" i="1" s="1"/>
  <c r="Q18" i="1"/>
  <c r="AB18" i="1" s="1"/>
  <c r="AM18" i="1" s="1"/>
  <c r="K18" i="10" s="1"/>
  <c r="J18" i="12" s="1"/>
  <c r="Q19" i="1"/>
  <c r="AB19" i="1" s="1"/>
  <c r="Q20" i="1"/>
  <c r="Q21" i="1"/>
  <c r="BK21" i="1" s="1"/>
  <c r="Q22" i="1"/>
  <c r="BK22" i="1" s="1"/>
  <c r="Q23" i="1"/>
  <c r="BK23" i="1" s="1"/>
  <c r="Q24" i="1"/>
  <c r="BK24" i="1" s="1"/>
  <c r="Q25" i="1"/>
  <c r="BK25" i="1" s="1"/>
  <c r="Q26" i="1"/>
  <c r="AB26" i="1" s="1"/>
  <c r="AY26" i="1" s="1"/>
  <c r="AD26" i="10" s="1"/>
  <c r="Q27" i="1"/>
  <c r="BK27" i="1" s="1"/>
  <c r="Q28" i="1"/>
  <c r="Q29" i="1"/>
  <c r="BK29" i="1" s="1"/>
  <c r="Q30" i="1"/>
  <c r="BK30" i="1" s="1"/>
  <c r="Q31" i="1"/>
  <c r="BK31" i="1" s="1"/>
  <c r="Q32" i="1"/>
  <c r="BK32" i="1" s="1"/>
  <c r="Q33" i="1"/>
  <c r="BK33" i="1" s="1"/>
  <c r="Q34" i="1"/>
  <c r="AB34" i="1" s="1"/>
  <c r="Q35" i="1"/>
  <c r="AB35" i="1" s="1"/>
  <c r="AY35" i="1" s="1"/>
  <c r="AD35" i="10" s="1"/>
  <c r="Q36" i="1"/>
  <c r="Q37" i="1"/>
  <c r="BK37" i="1" s="1"/>
  <c r="Q38" i="1"/>
  <c r="BK38" i="1" s="1"/>
  <c r="Q39" i="1"/>
  <c r="AB39" i="1" s="1"/>
  <c r="Q40" i="1"/>
  <c r="BK40" i="1" s="1"/>
  <c r="Q41" i="1"/>
  <c r="BK41" i="1" s="1"/>
  <c r="Q42" i="1"/>
  <c r="BK42" i="1" s="1"/>
  <c r="Q43" i="1"/>
  <c r="BK43" i="1" s="1"/>
  <c r="Q44" i="1"/>
  <c r="Q45" i="1"/>
  <c r="BK45" i="1" s="1"/>
  <c r="Q46" i="1"/>
  <c r="BK46" i="1" s="1"/>
  <c r="Q47" i="1"/>
  <c r="BK47" i="1" s="1"/>
  <c r="Q48" i="1"/>
  <c r="BK48" i="1" s="1"/>
  <c r="Q49" i="1"/>
  <c r="AB49" i="1" s="1"/>
  <c r="AY49" i="1" s="1"/>
  <c r="AD49" i="10" s="1"/>
  <c r="Q50" i="1"/>
  <c r="AB50" i="1" s="1"/>
  <c r="AM50" i="1" s="1"/>
  <c r="K50" i="10" s="1"/>
  <c r="J50" i="12" s="1"/>
  <c r="Q51" i="1"/>
  <c r="AB51" i="1" s="1"/>
  <c r="Q52" i="1"/>
  <c r="Q53" i="1"/>
  <c r="BK53" i="1" s="1"/>
  <c r="Q54" i="1"/>
  <c r="BK54" i="1" s="1"/>
  <c r="Q55" i="1"/>
  <c r="BK55" i="1" s="1"/>
  <c r="Q56" i="1"/>
  <c r="AB56" i="1" s="1"/>
  <c r="Q57" i="1"/>
  <c r="BK57" i="1" s="1"/>
  <c r="Q58" i="1"/>
  <c r="BK58" i="1" s="1"/>
  <c r="Q59" i="1"/>
  <c r="AB59" i="1" s="1"/>
  <c r="AY59" i="1" s="1"/>
  <c r="AD59" i="10" s="1"/>
  <c r="Q60" i="1"/>
  <c r="Q61" i="1"/>
  <c r="BK61" i="1" s="1"/>
  <c r="Q62" i="1"/>
  <c r="BK62" i="1" s="1"/>
  <c r="Q63" i="1"/>
  <c r="BK63" i="1" s="1"/>
  <c r="Q64" i="1"/>
  <c r="BK64" i="1" s="1"/>
  <c r="Q4" i="1"/>
  <c r="BK4" i="1" s="1"/>
  <c r="P5" i="1"/>
  <c r="AA5" i="1" s="1"/>
  <c r="P6" i="1"/>
  <c r="AA6" i="1" s="1"/>
  <c r="AX6" i="1" s="1"/>
  <c r="P7" i="1"/>
  <c r="P8" i="1"/>
  <c r="BJ8" i="1" s="1"/>
  <c r="P9" i="1"/>
  <c r="BJ9" i="1" s="1"/>
  <c r="P10" i="1"/>
  <c r="BJ10" i="1" s="1"/>
  <c r="P11" i="1"/>
  <c r="BJ11" i="1" s="1"/>
  <c r="P12" i="1"/>
  <c r="BJ12" i="1" s="1"/>
  <c r="P13" i="1"/>
  <c r="BJ13" i="1" s="1"/>
  <c r="P14" i="1"/>
  <c r="BJ14" i="1" s="1"/>
  <c r="P15" i="1"/>
  <c r="P16" i="1"/>
  <c r="BJ16" i="1" s="1"/>
  <c r="P17" i="1"/>
  <c r="AA17" i="1" s="1"/>
  <c r="P18" i="1"/>
  <c r="AA18" i="1" s="1"/>
  <c r="P19" i="1"/>
  <c r="BJ19" i="1" s="1"/>
  <c r="P20" i="1"/>
  <c r="BJ20" i="1" s="1"/>
  <c r="P21" i="1"/>
  <c r="AA21" i="1" s="1"/>
  <c r="AL21" i="1" s="1"/>
  <c r="J21" i="10" s="1"/>
  <c r="I21" i="12" s="1"/>
  <c r="W21" i="12" s="1"/>
  <c r="P22" i="1"/>
  <c r="BJ22" i="1" s="1"/>
  <c r="P23" i="1"/>
  <c r="P24" i="1"/>
  <c r="BJ24" i="1" s="1"/>
  <c r="P25" i="1"/>
  <c r="BJ25" i="1" s="1"/>
  <c r="P26" i="1"/>
  <c r="BJ26" i="1" s="1"/>
  <c r="P27" i="1"/>
  <c r="BJ27" i="1" s="1"/>
  <c r="P28" i="1"/>
  <c r="BJ28" i="1" s="1"/>
  <c r="P29" i="1"/>
  <c r="AA29" i="1" s="1"/>
  <c r="AX29" i="1" s="1"/>
  <c r="AC29" i="10" s="1"/>
  <c r="P30" i="1"/>
  <c r="AA30" i="1" s="1"/>
  <c r="AX30" i="1" s="1"/>
  <c r="AC30" i="10" s="1"/>
  <c r="P31" i="1"/>
  <c r="P32" i="1"/>
  <c r="BJ32" i="1" s="1"/>
  <c r="P33" i="1"/>
  <c r="BJ33" i="1" s="1"/>
  <c r="P34" i="1"/>
  <c r="BJ34" i="1" s="1"/>
  <c r="P35" i="1"/>
  <c r="BJ35" i="1" s="1"/>
  <c r="P36" i="1"/>
  <c r="BJ36" i="1" s="1"/>
  <c r="P37" i="1"/>
  <c r="BJ37" i="1" s="1"/>
  <c r="P38" i="1"/>
  <c r="BJ38" i="1" s="1"/>
  <c r="P39" i="1"/>
  <c r="P40" i="1"/>
  <c r="BJ40" i="1" s="1"/>
  <c r="P41" i="1"/>
  <c r="BJ41" i="1" s="1"/>
  <c r="P42" i="1"/>
  <c r="BJ42" i="1" s="1"/>
  <c r="P43" i="1"/>
  <c r="BJ43" i="1" s="1"/>
  <c r="P44" i="1"/>
  <c r="AA44" i="1" s="1"/>
  <c r="AL44" i="1" s="1"/>
  <c r="J44" i="10" s="1"/>
  <c r="I44" i="12" s="1"/>
  <c r="P45" i="1"/>
  <c r="BJ45" i="1" s="1"/>
  <c r="P46" i="1"/>
  <c r="BJ46" i="1" s="1"/>
  <c r="P47" i="1"/>
  <c r="P48" i="1"/>
  <c r="BJ48" i="1" s="1"/>
  <c r="P49" i="1"/>
  <c r="AA49" i="1" s="1"/>
  <c r="P50" i="1"/>
  <c r="AA50" i="1" s="1"/>
  <c r="P51" i="1"/>
  <c r="AA51" i="1" s="1"/>
  <c r="AX51" i="1" s="1"/>
  <c r="AC51" i="10" s="1"/>
  <c r="P52" i="1"/>
  <c r="BJ52" i="1" s="1"/>
  <c r="P53" i="1"/>
  <c r="BJ53" i="1" s="1"/>
  <c r="P54" i="1"/>
  <c r="AA54" i="1" s="1"/>
  <c r="P55" i="1"/>
  <c r="P56" i="1"/>
  <c r="BJ56" i="1" s="1"/>
  <c r="P57" i="1"/>
  <c r="BJ57" i="1" s="1"/>
  <c r="P58" i="1"/>
  <c r="BJ58" i="1" s="1"/>
  <c r="P59" i="1"/>
  <c r="BJ59" i="1" s="1"/>
  <c r="P60" i="1"/>
  <c r="BJ60" i="1" s="1"/>
  <c r="P61" i="1"/>
  <c r="AA61" i="1" s="1"/>
  <c r="AX61" i="1" s="1"/>
  <c r="AC61" i="10" s="1"/>
  <c r="P62" i="1"/>
  <c r="AA62" i="1" s="1"/>
  <c r="AX62" i="1" s="1"/>
  <c r="AC62" i="10" s="1"/>
  <c r="P63" i="1"/>
  <c r="AA63" i="1" s="1"/>
  <c r="AX63" i="1" s="1"/>
  <c r="AC63" i="10" s="1"/>
  <c r="P64" i="1"/>
  <c r="BJ64" i="1" s="1"/>
  <c r="P4" i="1"/>
  <c r="BJ4" i="1" s="1"/>
  <c r="O5" i="1"/>
  <c r="BI5" i="1" s="1"/>
  <c r="O6" i="1"/>
  <c r="BI6" i="1" s="1"/>
  <c r="O7" i="1"/>
  <c r="BI7" i="1" s="1"/>
  <c r="O8" i="1"/>
  <c r="Z8" i="1" s="1"/>
  <c r="O9" i="1"/>
  <c r="Z9" i="1" s="1"/>
  <c r="AW9" i="1" s="1"/>
  <c r="O10" i="1"/>
  <c r="Z10" i="1" s="1"/>
  <c r="AW10" i="1" s="1"/>
  <c r="AB10" i="10" s="1"/>
  <c r="O11" i="1"/>
  <c r="BI11" i="1" s="1"/>
  <c r="O12" i="1"/>
  <c r="BI12" i="1" s="1"/>
  <c r="O13" i="1"/>
  <c r="BI13" i="1" s="1"/>
  <c r="O14" i="1"/>
  <c r="BI14" i="1" s="1"/>
  <c r="O15" i="1"/>
  <c r="BI15" i="1" s="1"/>
  <c r="O16" i="1"/>
  <c r="Z16" i="1" s="1"/>
  <c r="AK16" i="1" s="1"/>
  <c r="I16" i="10" s="1"/>
  <c r="H16" i="12" s="1"/>
  <c r="O17" i="1"/>
  <c r="BI17" i="1" s="1"/>
  <c r="O18" i="1"/>
  <c r="O19" i="1"/>
  <c r="BI19" i="1" s="1"/>
  <c r="O20" i="1"/>
  <c r="BI20" i="1" s="1"/>
  <c r="O21" i="1"/>
  <c r="BI21" i="1" s="1"/>
  <c r="O22" i="1"/>
  <c r="Z22" i="1" s="1"/>
  <c r="O23" i="1"/>
  <c r="BI23" i="1" s="1"/>
  <c r="O24" i="1"/>
  <c r="BI24" i="1" s="1"/>
  <c r="O25" i="1"/>
  <c r="Z25" i="1" s="1"/>
  <c r="O26" i="1"/>
  <c r="Z26" i="1" s="1"/>
  <c r="O27" i="1"/>
  <c r="BI27" i="1" s="1"/>
  <c r="O28" i="1"/>
  <c r="BI28" i="1" s="1"/>
  <c r="O29" i="1"/>
  <c r="BI29" i="1" s="1"/>
  <c r="O30" i="1"/>
  <c r="BI30" i="1" s="1"/>
  <c r="O31" i="1"/>
  <c r="BI31" i="1" s="1"/>
  <c r="O32" i="1"/>
  <c r="BI32" i="1" s="1"/>
  <c r="O33" i="1"/>
  <c r="BI33" i="1" s="1"/>
  <c r="O34" i="1"/>
  <c r="O35" i="1"/>
  <c r="BI35" i="1" s="1"/>
  <c r="O36" i="1"/>
  <c r="BI36" i="1" s="1"/>
  <c r="O37" i="1"/>
  <c r="Z37" i="1" s="1"/>
  <c r="O38" i="1"/>
  <c r="Z38" i="1" s="1"/>
  <c r="O39" i="1"/>
  <c r="BI39" i="1" s="1"/>
  <c r="O40" i="1"/>
  <c r="BI40" i="1" s="1"/>
  <c r="O41" i="1"/>
  <c r="BI41" i="1" s="1"/>
  <c r="O42" i="1"/>
  <c r="O43" i="1"/>
  <c r="BI43" i="1" s="1"/>
  <c r="O44" i="1"/>
  <c r="BI44" i="1" s="1"/>
  <c r="O45" i="1"/>
  <c r="Z45" i="1" s="1"/>
  <c r="O46" i="1"/>
  <c r="BI46" i="1" s="1"/>
  <c r="O47" i="1"/>
  <c r="BI47" i="1" s="1"/>
  <c r="O48" i="1"/>
  <c r="Z48" i="1" s="1"/>
  <c r="AK48" i="1" s="1"/>
  <c r="I48" i="10" s="1"/>
  <c r="H48" i="12" s="1"/>
  <c r="O49" i="1"/>
  <c r="Z49" i="1" s="1"/>
  <c r="O50" i="1"/>
  <c r="O51" i="1"/>
  <c r="BI51" i="1" s="1"/>
  <c r="O52" i="1"/>
  <c r="BI52" i="1" s="1"/>
  <c r="O53" i="1"/>
  <c r="BI53" i="1" s="1"/>
  <c r="O54" i="1"/>
  <c r="BI54" i="1" s="1"/>
  <c r="O55" i="1"/>
  <c r="BI55" i="1" s="1"/>
  <c r="O56" i="1"/>
  <c r="Z56" i="1" s="1"/>
  <c r="AK56" i="1" s="1"/>
  <c r="I56" i="10" s="1"/>
  <c r="H56" i="12" s="1"/>
  <c r="O57" i="1"/>
  <c r="Z57" i="1" s="1"/>
  <c r="O58" i="1"/>
  <c r="Z58" i="1" s="1"/>
  <c r="O59" i="1"/>
  <c r="BI59" i="1" s="1"/>
  <c r="O60" i="1"/>
  <c r="BI60" i="1" s="1"/>
  <c r="O61" i="1"/>
  <c r="BI61" i="1" s="1"/>
  <c r="O62" i="1"/>
  <c r="BI62" i="1" s="1"/>
  <c r="O63" i="1"/>
  <c r="BI63" i="1" s="1"/>
  <c r="O64" i="1"/>
  <c r="Z64" i="1" s="1"/>
  <c r="AW64" i="1" s="1"/>
  <c r="AB64" i="10" s="1"/>
  <c r="O4" i="1"/>
  <c r="BI4" i="1" s="1"/>
  <c r="N4" i="1"/>
  <c r="BH4" i="1" s="1"/>
  <c r="N5" i="1"/>
  <c r="N6" i="1"/>
  <c r="BH6" i="1" s="1"/>
  <c r="N7" i="1"/>
  <c r="BH7" i="1" s="1"/>
  <c r="N8" i="1"/>
  <c r="BH8" i="1" s="1"/>
  <c r="N9" i="1"/>
  <c r="BH9" i="1" s="1"/>
  <c r="N10" i="1"/>
  <c r="BH10" i="1" s="1"/>
  <c r="N11" i="1"/>
  <c r="Y11" i="1" s="1"/>
  <c r="N12" i="1"/>
  <c r="Y12" i="1" s="1"/>
  <c r="AV12" i="1" s="1"/>
  <c r="AA12" i="10" s="1"/>
  <c r="N13" i="1"/>
  <c r="Y13" i="1" s="1"/>
  <c r="AV13" i="1" s="1"/>
  <c r="AA13" i="10" s="1"/>
  <c r="N14" i="1"/>
  <c r="BH14" i="1" s="1"/>
  <c r="N15" i="1"/>
  <c r="BH15" i="1" s="1"/>
  <c r="N16" i="1"/>
  <c r="BH16" i="1" s="1"/>
  <c r="N17" i="1"/>
  <c r="BH17" i="1" s="1"/>
  <c r="N18" i="1"/>
  <c r="BH18" i="1" s="1"/>
  <c r="N19" i="1"/>
  <c r="BH19" i="1" s="1"/>
  <c r="N20" i="1"/>
  <c r="N21" i="1"/>
  <c r="N22" i="1"/>
  <c r="BH22" i="1" s="1"/>
  <c r="N23" i="1"/>
  <c r="BH23" i="1" s="1"/>
  <c r="N24" i="1"/>
  <c r="Y24" i="1" s="1"/>
  <c r="N25" i="1"/>
  <c r="Y25" i="1" s="1"/>
  <c r="N26" i="1"/>
  <c r="BH26" i="1" s="1"/>
  <c r="N27" i="1"/>
  <c r="BH27" i="1" s="1"/>
  <c r="N28" i="1"/>
  <c r="Y28" i="1" s="1"/>
  <c r="N29" i="1"/>
  <c r="N30" i="1"/>
  <c r="BH30" i="1" s="1"/>
  <c r="N31" i="1"/>
  <c r="BH31" i="1" s="1"/>
  <c r="N32" i="1"/>
  <c r="BH32" i="1" s="1"/>
  <c r="N33" i="1"/>
  <c r="BH33" i="1" s="1"/>
  <c r="N34" i="1"/>
  <c r="BH34" i="1" s="1"/>
  <c r="N35" i="1"/>
  <c r="BH35" i="1" s="1"/>
  <c r="N36" i="1"/>
  <c r="N37" i="1"/>
  <c r="N38" i="1"/>
  <c r="BH38" i="1" s="1"/>
  <c r="N39" i="1"/>
  <c r="BH39" i="1" s="1"/>
  <c r="N40" i="1"/>
  <c r="Y40" i="1" s="1"/>
  <c r="N41" i="1"/>
  <c r="BH41" i="1" s="1"/>
  <c r="N42" i="1"/>
  <c r="BH42" i="1" s="1"/>
  <c r="N43" i="1"/>
  <c r="Y43" i="1" s="1"/>
  <c r="N44" i="1"/>
  <c r="N45" i="1"/>
  <c r="N46" i="1"/>
  <c r="BH46" i="1" s="1"/>
  <c r="N47" i="1"/>
  <c r="BH47" i="1" s="1"/>
  <c r="N48" i="1"/>
  <c r="Y48" i="1" s="1"/>
  <c r="N49" i="1"/>
  <c r="BH49" i="1" s="1"/>
  <c r="N50" i="1"/>
  <c r="BH50" i="1" s="1"/>
  <c r="N51" i="1"/>
  <c r="Y51" i="1" s="1"/>
  <c r="AJ51" i="1" s="1"/>
  <c r="H51" i="10" s="1"/>
  <c r="P51" i="12" s="1"/>
  <c r="AC51" i="12" s="1"/>
  <c r="N52" i="1"/>
  <c r="N53" i="1"/>
  <c r="N54" i="1"/>
  <c r="BH54" i="1" s="1"/>
  <c r="N55" i="1"/>
  <c r="BH55" i="1" s="1"/>
  <c r="N56" i="1"/>
  <c r="BH56" i="1" s="1"/>
  <c r="N57" i="1"/>
  <c r="Y57" i="1" s="1"/>
  <c r="AV57" i="1" s="1"/>
  <c r="AA57" i="10" s="1"/>
  <c r="N58" i="1"/>
  <c r="Y58" i="1" s="1"/>
  <c r="AV58" i="1" s="1"/>
  <c r="AA58" i="10" s="1"/>
  <c r="N59" i="1"/>
  <c r="Y59" i="1" s="1"/>
  <c r="AJ59" i="1" s="1"/>
  <c r="H59" i="10" s="1"/>
  <c r="P59" i="12" s="1"/>
  <c r="AC59" i="12" s="1"/>
  <c r="N60" i="1"/>
  <c r="Y60" i="1" s="1"/>
  <c r="N61" i="1"/>
  <c r="Y61" i="1" s="1"/>
  <c r="N62" i="1"/>
  <c r="BH62" i="1" s="1"/>
  <c r="N63" i="1"/>
  <c r="BH63" i="1" s="1"/>
  <c r="N64" i="1"/>
  <c r="BH64" i="1" s="1"/>
  <c r="AE30" i="12" l="1"/>
  <c r="BH43" i="12"/>
  <c r="AE45" i="12"/>
  <c r="BH12" i="12"/>
  <c r="BH39" i="12"/>
  <c r="AE26" i="12"/>
  <c r="BH26" i="12"/>
  <c r="AE61" i="12"/>
  <c r="AE59" i="12"/>
  <c r="AE49" i="12"/>
  <c r="BH57" i="12"/>
  <c r="AE57" i="12"/>
  <c r="BH50" i="12"/>
  <c r="AE50" i="12"/>
  <c r="AE24" i="12"/>
  <c r="BH24" i="12"/>
  <c r="AE31" i="12"/>
  <c r="BH17" i="12"/>
  <c r="AE17" i="12"/>
  <c r="AE10" i="12"/>
  <c r="BH10" i="12"/>
  <c r="BH20" i="12"/>
  <c r="AE20" i="12"/>
  <c r="BH63" i="12"/>
  <c r="AE63" i="12"/>
  <c r="AE41" i="12"/>
  <c r="AE36" i="12"/>
  <c r="AM22" i="12" s="1"/>
  <c r="AM40" i="12" s="1"/>
  <c r="BH54" i="12"/>
  <c r="AE54" i="12"/>
  <c r="BH28" i="12"/>
  <c r="AE28" i="12"/>
  <c r="BH25" i="12"/>
  <c r="AE25" i="12"/>
  <c r="BH51" i="12"/>
  <c r="AE51" i="12"/>
  <c r="AE47" i="12"/>
  <c r="BH47" i="12"/>
  <c r="BA56" i="12"/>
  <c r="AD56" i="12"/>
  <c r="BA48" i="12"/>
  <c r="AD48" i="12"/>
  <c r="BA16" i="12"/>
  <c r="AD16" i="12"/>
  <c r="BE61" i="12"/>
  <c r="Z61" i="12"/>
  <c r="BE45" i="12"/>
  <c r="Z45" i="12"/>
  <c r="AV63" i="12"/>
  <c r="S63" i="12"/>
  <c r="AV55" i="12"/>
  <c r="S55" i="12"/>
  <c r="AV31" i="12"/>
  <c r="S31" i="12"/>
  <c r="AV23" i="12"/>
  <c r="S23" i="12"/>
  <c r="AV15" i="12"/>
  <c r="S15" i="12"/>
  <c r="AW52" i="12"/>
  <c r="T52" i="12"/>
  <c r="AW44" i="12"/>
  <c r="T44" i="12"/>
  <c r="AW36" i="12"/>
  <c r="T36" i="12"/>
  <c r="AW28" i="12"/>
  <c r="T28" i="12"/>
  <c r="AW20" i="12"/>
  <c r="BK25" i="12" s="1"/>
  <c r="T20" i="12"/>
  <c r="AW12" i="12"/>
  <c r="T12" i="12"/>
  <c r="AX57" i="12"/>
  <c r="U57" i="12"/>
  <c r="AX49" i="12"/>
  <c r="U49" i="12"/>
  <c r="AX41" i="12"/>
  <c r="U41" i="12"/>
  <c r="AX33" i="12"/>
  <c r="U33" i="12"/>
  <c r="AX25" i="12"/>
  <c r="U25" i="12"/>
  <c r="AX17" i="12"/>
  <c r="U17" i="12"/>
  <c r="BC50" i="12"/>
  <c r="X50" i="12"/>
  <c r="BC18" i="12"/>
  <c r="X18" i="12"/>
  <c r="AV62" i="12"/>
  <c r="S62" i="12"/>
  <c r="AV54" i="12"/>
  <c r="S54" i="12"/>
  <c r="AV46" i="12"/>
  <c r="S46" i="12"/>
  <c r="AV38" i="12"/>
  <c r="S38" i="12"/>
  <c r="AV22" i="12"/>
  <c r="S22" i="12"/>
  <c r="AV14" i="12"/>
  <c r="S14" i="12"/>
  <c r="AW59" i="12"/>
  <c r="T59" i="12"/>
  <c r="AW43" i="12"/>
  <c r="T43" i="12"/>
  <c r="AW27" i="12"/>
  <c r="T27" i="12"/>
  <c r="AW11" i="12"/>
  <c r="T11" i="12"/>
  <c r="AX40" i="12"/>
  <c r="U40" i="12"/>
  <c r="AX24" i="12"/>
  <c r="U24" i="12"/>
  <c r="BB44" i="12"/>
  <c r="W44" i="12"/>
  <c r="BD38" i="12"/>
  <c r="Y38" i="12"/>
  <c r="AV61" i="12"/>
  <c r="S61" i="12"/>
  <c r="AV53" i="12"/>
  <c r="S53" i="12"/>
  <c r="AV45" i="12"/>
  <c r="S45" i="12"/>
  <c r="AV37" i="12"/>
  <c r="S37" i="12"/>
  <c r="AV29" i="12"/>
  <c r="S29" i="12"/>
  <c r="AV13" i="12"/>
  <c r="S13" i="12"/>
  <c r="AW58" i="12"/>
  <c r="T58" i="12"/>
  <c r="AW50" i="12"/>
  <c r="T50" i="12"/>
  <c r="AW42" i="12"/>
  <c r="T42" i="12"/>
  <c r="AW34" i="12"/>
  <c r="T34" i="12"/>
  <c r="AW26" i="12"/>
  <c r="T26" i="12"/>
  <c r="AW18" i="12"/>
  <c r="T18" i="12"/>
  <c r="AX63" i="12"/>
  <c r="U63" i="12"/>
  <c r="AX55" i="12"/>
  <c r="U55" i="12"/>
  <c r="AX31" i="12"/>
  <c r="U31" i="12"/>
  <c r="AX23" i="12"/>
  <c r="U23" i="12"/>
  <c r="AX15" i="12"/>
  <c r="U15" i="12"/>
  <c r="BG19" i="12"/>
  <c r="AB19" i="12"/>
  <c r="BD59" i="12"/>
  <c r="Y59" i="12"/>
  <c r="BK26" i="12"/>
  <c r="BB21" i="12"/>
  <c r="AV30" i="12"/>
  <c r="AX56" i="12"/>
  <c r="BI59" i="12"/>
  <c r="BL67" i="12" s="1"/>
  <c r="AV21" i="12"/>
  <c r="AW10" i="12"/>
  <c r="AX47" i="12"/>
  <c r="AX39" i="12"/>
  <c r="AV47" i="12"/>
  <c r="BI51" i="12"/>
  <c r="AV39" i="12"/>
  <c r="AG60" i="1"/>
  <c r="BD60" i="1" s="1"/>
  <c r="AI60" i="10" s="1"/>
  <c r="AG40" i="1"/>
  <c r="AR40" i="1" s="1"/>
  <c r="P40" i="10" s="1"/>
  <c r="B40" i="12" s="1"/>
  <c r="AG18" i="1"/>
  <c r="BD18" i="1" s="1"/>
  <c r="AI18" i="10" s="1"/>
  <c r="AH57" i="1"/>
  <c r="BE57" i="1" s="1"/>
  <c r="AJ57" i="10" s="1"/>
  <c r="AH41" i="1"/>
  <c r="BE41" i="1" s="1"/>
  <c r="AJ41" i="10" s="1"/>
  <c r="AH25" i="1"/>
  <c r="BE25" i="1" s="1"/>
  <c r="AJ25" i="10" s="1"/>
  <c r="AH9" i="1"/>
  <c r="BE9" i="1" s="1"/>
  <c r="AI54" i="1"/>
  <c r="BF54" i="1" s="1"/>
  <c r="AK54" i="10" s="1"/>
  <c r="AI38" i="1"/>
  <c r="BF38" i="1" s="1"/>
  <c r="AK38" i="10" s="1"/>
  <c r="AI22" i="1"/>
  <c r="BF22" i="1" s="1"/>
  <c r="AK22" i="10" s="1"/>
  <c r="AI6" i="1"/>
  <c r="BF6" i="1" s="1"/>
  <c r="BP7" i="1"/>
  <c r="BQ28" i="1"/>
  <c r="BR57" i="1"/>
  <c r="BR25" i="1"/>
  <c r="AG58" i="1"/>
  <c r="BD58" i="1" s="1"/>
  <c r="AI58" i="10" s="1"/>
  <c r="AG36" i="1"/>
  <c r="BD36" i="1" s="1"/>
  <c r="AI36" i="10" s="1"/>
  <c r="AG16" i="1"/>
  <c r="AR16" i="1" s="1"/>
  <c r="P16" i="10" s="1"/>
  <c r="B16" i="12" s="1"/>
  <c r="AH55" i="1"/>
  <c r="BE55" i="1" s="1"/>
  <c r="AJ55" i="10" s="1"/>
  <c r="AH39" i="1"/>
  <c r="BE39" i="1" s="1"/>
  <c r="AJ39" i="10" s="1"/>
  <c r="AH23" i="1"/>
  <c r="BE23" i="1" s="1"/>
  <c r="AJ23" i="10" s="1"/>
  <c r="AH7" i="1"/>
  <c r="BE7" i="1" s="1"/>
  <c r="AI52" i="1"/>
  <c r="BF52" i="1" s="1"/>
  <c r="AK52" i="10" s="1"/>
  <c r="AI36" i="1"/>
  <c r="BF36" i="1" s="1"/>
  <c r="AK36" i="10" s="1"/>
  <c r="AI20" i="1"/>
  <c r="BF20" i="1" s="1"/>
  <c r="AK20" i="10" s="1"/>
  <c r="BP63" i="1"/>
  <c r="BQ60" i="1"/>
  <c r="BQ27" i="1"/>
  <c r="BR56" i="1"/>
  <c r="BR24" i="1"/>
  <c r="AG56" i="1"/>
  <c r="AR56" i="1" s="1"/>
  <c r="P56" i="10" s="1"/>
  <c r="AG34" i="1"/>
  <c r="BD34" i="1" s="1"/>
  <c r="AI34" i="10" s="1"/>
  <c r="AG12" i="1"/>
  <c r="BD12" i="1" s="1"/>
  <c r="AI12" i="10" s="1"/>
  <c r="AH53" i="1"/>
  <c r="AS53" i="1" s="1"/>
  <c r="Q53" i="10" s="1"/>
  <c r="C53" i="12" s="1"/>
  <c r="AH37" i="1"/>
  <c r="AS37" i="1" s="1"/>
  <c r="Q37" i="10" s="1"/>
  <c r="C37" i="12" s="1"/>
  <c r="AH21" i="1"/>
  <c r="AS21" i="1" s="1"/>
  <c r="Q21" i="10" s="1"/>
  <c r="C21" i="12" s="1"/>
  <c r="T21" i="12" s="1"/>
  <c r="AH5" i="1"/>
  <c r="AS5" i="1" s="1"/>
  <c r="AI50" i="1"/>
  <c r="AT50" i="1" s="1"/>
  <c r="R50" i="10" s="1"/>
  <c r="D50" i="12" s="1"/>
  <c r="AI34" i="1"/>
  <c r="AT34" i="1" s="1"/>
  <c r="R34" i="10" s="1"/>
  <c r="D34" i="12" s="1"/>
  <c r="AI18" i="1"/>
  <c r="AT18" i="1" s="1"/>
  <c r="R18" i="10" s="1"/>
  <c r="D18" i="12" s="1"/>
  <c r="BP55" i="1"/>
  <c r="BQ52" i="1"/>
  <c r="BQ20" i="1"/>
  <c r="BR49" i="1"/>
  <c r="BR17" i="1"/>
  <c r="AG52" i="1"/>
  <c r="BD52" i="1" s="1"/>
  <c r="AI52" i="10" s="1"/>
  <c r="AG32" i="1"/>
  <c r="AR32" i="1" s="1"/>
  <c r="P32" i="10" s="1"/>
  <c r="B32" i="12" s="1"/>
  <c r="AG10" i="1"/>
  <c r="BD10" i="1" s="1"/>
  <c r="AI10" i="10" s="1"/>
  <c r="AH51" i="1"/>
  <c r="AS51" i="1" s="1"/>
  <c r="Q51" i="10" s="1"/>
  <c r="C51" i="12" s="1"/>
  <c r="AH35" i="1"/>
  <c r="AS35" i="1" s="1"/>
  <c r="Q35" i="10" s="1"/>
  <c r="C35" i="12" s="1"/>
  <c r="AH19" i="1"/>
  <c r="AS19" i="1" s="1"/>
  <c r="Q19" i="10" s="1"/>
  <c r="C19" i="12" s="1"/>
  <c r="AI64" i="1"/>
  <c r="AT64" i="1" s="1"/>
  <c r="R64" i="10" s="1"/>
  <c r="D64" i="12" s="1"/>
  <c r="AI48" i="1"/>
  <c r="AT48" i="1" s="1"/>
  <c r="R48" i="10" s="1"/>
  <c r="D48" i="12" s="1"/>
  <c r="AI32" i="1"/>
  <c r="AT32" i="1" s="1"/>
  <c r="R32" i="10" s="1"/>
  <c r="D32" i="12" s="1"/>
  <c r="AI16" i="1"/>
  <c r="AT16" i="1" s="1"/>
  <c r="R16" i="10" s="1"/>
  <c r="D16" i="12" s="1"/>
  <c r="BP47" i="1"/>
  <c r="AG50" i="1"/>
  <c r="BD50" i="1" s="1"/>
  <c r="AI50" i="10" s="1"/>
  <c r="AG28" i="1"/>
  <c r="BD28" i="1" s="1"/>
  <c r="AI28" i="10" s="1"/>
  <c r="AG8" i="1"/>
  <c r="AR8" i="1" s="1"/>
  <c r="AH49" i="1"/>
  <c r="BE49" i="1" s="1"/>
  <c r="AJ49" i="10" s="1"/>
  <c r="AH33" i="1"/>
  <c r="BE33" i="1" s="1"/>
  <c r="AJ33" i="10" s="1"/>
  <c r="AH17" i="1"/>
  <c r="BE17" i="1" s="1"/>
  <c r="AJ17" i="10" s="1"/>
  <c r="AI62" i="1"/>
  <c r="BF62" i="1" s="1"/>
  <c r="AK62" i="10" s="1"/>
  <c r="AI46" i="1"/>
  <c r="BF46" i="1" s="1"/>
  <c r="AK46" i="10" s="1"/>
  <c r="AI30" i="1"/>
  <c r="BF30" i="1" s="1"/>
  <c r="AK30" i="10" s="1"/>
  <c r="AI14" i="1"/>
  <c r="BF14" i="1" s="1"/>
  <c r="AK14" i="10" s="1"/>
  <c r="BP39" i="1"/>
  <c r="BQ44" i="1"/>
  <c r="BQ12" i="1"/>
  <c r="BR41" i="1"/>
  <c r="BR9" i="1"/>
  <c r="AG48" i="1"/>
  <c r="AR48" i="1" s="1"/>
  <c r="P48" i="10" s="1"/>
  <c r="B48" i="12" s="1"/>
  <c r="AG26" i="1"/>
  <c r="BD26" i="1" s="1"/>
  <c r="AI26" i="10" s="1"/>
  <c r="AH4" i="1"/>
  <c r="BE4" i="1" s="1"/>
  <c r="AH47" i="1"/>
  <c r="BE47" i="1" s="1"/>
  <c r="AJ47" i="10" s="1"/>
  <c r="AH31" i="1"/>
  <c r="BE31" i="1" s="1"/>
  <c r="AJ31" i="10" s="1"/>
  <c r="AH15" i="1"/>
  <c r="BE15" i="1" s="1"/>
  <c r="AJ15" i="10" s="1"/>
  <c r="AI60" i="1"/>
  <c r="BF60" i="1" s="1"/>
  <c r="AK60" i="10" s="1"/>
  <c r="AI44" i="1"/>
  <c r="BF44" i="1" s="1"/>
  <c r="AK44" i="10" s="1"/>
  <c r="AI28" i="1"/>
  <c r="BF28" i="1" s="1"/>
  <c r="AK28" i="10" s="1"/>
  <c r="AI12" i="1"/>
  <c r="BF12" i="1" s="1"/>
  <c r="AK12" i="10" s="1"/>
  <c r="BP31" i="1"/>
  <c r="BQ43" i="1"/>
  <c r="BQ11" i="1"/>
  <c r="BR40" i="1"/>
  <c r="BR8" i="1"/>
  <c r="AG44" i="1"/>
  <c r="BD44" i="1" s="1"/>
  <c r="AI44" i="10" s="1"/>
  <c r="AG24" i="1"/>
  <c r="AR24" i="1" s="1"/>
  <c r="P24" i="10" s="1"/>
  <c r="B24" i="12" s="1"/>
  <c r="AH63" i="1"/>
  <c r="BE63" i="1" s="1"/>
  <c r="AJ63" i="10" s="1"/>
  <c r="AH45" i="1"/>
  <c r="AS45" i="1" s="1"/>
  <c r="Q45" i="10" s="1"/>
  <c r="C45" i="12" s="1"/>
  <c r="AH29" i="1"/>
  <c r="AS29" i="1" s="1"/>
  <c r="Q29" i="10" s="1"/>
  <c r="C29" i="12" s="1"/>
  <c r="AH13" i="1"/>
  <c r="AS13" i="1" s="1"/>
  <c r="Q13" i="10" s="1"/>
  <c r="C13" i="12" s="1"/>
  <c r="AI58" i="1"/>
  <c r="AT58" i="1" s="1"/>
  <c r="R58" i="10" s="1"/>
  <c r="D58" i="12" s="1"/>
  <c r="AI42" i="1"/>
  <c r="AT42" i="1" s="1"/>
  <c r="R42" i="10" s="1"/>
  <c r="D42" i="12" s="1"/>
  <c r="AI26" i="1"/>
  <c r="AT26" i="1" s="1"/>
  <c r="R26" i="10" s="1"/>
  <c r="D26" i="12" s="1"/>
  <c r="AI10" i="1"/>
  <c r="AT10" i="1" s="1"/>
  <c r="R10" i="10" s="1"/>
  <c r="D10" i="12" s="1"/>
  <c r="U10" i="12" s="1"/>
  <c r="BP23" i="1"/>
  <c r="BQ36" i="1"/>
  <c r="BR4" i="1"/>
  <c r="BR33" i="1"/>
  <c r="AG64" i="1"/>
  <c r="AR64" i="1" s="1"/>
  <c r="P64" i="10" s="1"/>
  <c r="B64" i="12" s="1"/>
  <c r="AG42" i="1"/>
  <c r="BD42" i="1" s="1"/>
  <c r="AI42" i="10" s="1"/>
  <c r="AG20" i="1"/>
  <c r="BD20" i="1" s="1"/>
  <c r="AI20" i="10" s="1"/>
  <c r="AH61" i="1"/>
  <c r="AS61" i="1" s="1"/>
  <c r="Q61" i="10" s="1"/>
  <c r="C61" i="12" s="1"/>
  <c r="BP15" i="1"/>
  <c r="BP62" i="1"/>
  <c r="BP54" i="1"/>
  <c r="BP46" i="1"/>
  <c r="BP38" i="1"/>
  <c r="BP30" i="1"/>
  <c r="BP22" i="1"/>
  <c r="BP14" i="1"/>
  <c r="BP6" i="1"/>
  <c r="BQ59" i="1"/>
  <c r="BP61" i="1"/>
  <c r="BP53" i="1"/>
  <c r="BP45" i="1"/>
  <c r="BP37" i="1"/>
  <c r="BP29" i="1"/>
  <c r="BP21" i="1"/>
  <c r="BP13" i="1"/>
  <c r="BP5" i="1"/>
  <c r="BQ58" i="1"/>
  <c r="BQ50" i="1"/>
  <c r="BQ42" i="1"/>
  <c r="BQ34" i="1"/>
  <c r="BQ26" i="1"/>
  <c r="BQ18" i="1"/>
  <c r="BQ10" i="1"/>
  <c r="BR63" i="1"/>
  <c r="BR55" i="1"/>
  <c r="BR47" i="1"/>
  <c r="BR39" i="1"/>
  <c r="BR31" i="1"/>
  <c r="BR23" i="1"/>
  <c r="BR15" i="1"/>
  <c r="BR7" i="1"/>
  <c r="BP59" i="1"/>
  <c r="BP51" i="1"/>
  <c r="BP43" i="1"/>
  <c r="BP35" i="1"/>
  <c r="BP27" i="1"/>
  <c r="BP19" i="1"/>
  <c r="BP11" i="1"/>
  <c r="BQ64" i="1"/>
  <c r="BQ56" i="1"/>
  <c r="BQ48" i="1"/>
  <c r="BQ40" i="1"/>
  <c r="BQ32" i="1"/>
  <c r="BQ24" i="1"/>
  <c r="BQ16" i="1"/>
  <c r="BQ8" i="1"/>
  <c r="BR61" i="1"/>
  <c r="BR53" i="1"/>
  <c r="BR45" i="1"/>
  <c r="BR37" i="1"/>
  <c r="BR29" i="1"/>
  <c r="BR21" i="1"/>
  <c r="BR13" i="1"/>
  <c r="BR5" i="1"/>
  <c r="BP4" i="1"/>
  <c r="BP57" i="1"/>
  <c r="BP49" i="1"/>
  <c r="BP41" i="1"/>
  <c r="BP33" i="1"/>
  <c r="BP25" i="1"/>
  <c r="BP17" i="1"/>
  <c r="BP9" i="1"/>
  <c r="BQ62" i="1"/>
  <c r="BQ54" i="1"/>
  <c r="BQ46" i="1"/>
  <c r="BQ38" i="1"/>
  <c r="BQ30" i="1"/>
  <c r="BQ22" i="1"/>
  <c r="BQ14" i="1"/>
  <c r="BQ6" i="1"/>
  <c r="BR59" i="1"/>
  <c r="BR51" i="1"/>
  <c r="BR43" i="1"/>
  <c r="BR35" i="1"/>
  <c r="BR27" i="1"/>
  <c r="BR19" i="1"/>
  <c r="BR11" i="1"/>
  <c r="AR60" i="1"/>
  <c r="P60" i="10" s="1"/>
  <c r="B60" i="12" s="1"/>
  <c r="AR44" i="1"/>
  <c r="P44" i="10" s="1"/>
  <c r="B44" i="12" s="1"/>
  <c r="AT54" i="1"/>
  <c r="R54" i="10" s="1"/>
  <c r="D54" i="12" s="1"/>
  <c r="AT38" i="1"/>
  <c r="R38" i="10" s="1"/>
  <c r="D38" i="12" s="1"/>
  <c r="AR28" i="1"/>
  <c r="P28" i="10" s="1"/>
  <c r="B28" i="12" s="1"/>
  <c r="AT22" i="1"/>
  <c r="R22" i="10" s="1"/>
  <c r="D22" i="12" s="1"/>
  <c r="AR12" i="1"/>
  <c r="P12" i="10" s="1"/>
  <c r="B12" i="12" s="1"/>
  <c r="AT6" i="1"/>
  <c r="AS57" i="1"/>
  <c r="Q57" i="10" s="1"/>
  <c r="C57" i="12" s="1"/>
  <c r="BE29" i="1"/>
  <c r="AJ29" i="10" s="1"/>
  <c r="AS41" i="1"/>
  <c r="Q41" i="10" s="1"/>
  <c r="C41" i="12" s="1"/>
  <c r="AS25" i="1"/>
  <c r="Q25" i="10" s="1"/>
  <c r="C25" i="12" s="1"/>
  <c r="AS9" i="1"/>
  <c r="AS7" i="1"/>
  <c r="AR36" i="1"/>
  <c r="P36" i="10" s="1"/>
  <c r="B36" i="12" s="1"/>
  <c r="AS33" i="1"/>
  <c r="Q33" i="10" s="1"/>
  <c r="C33" i="12" s="1"/>
  <c r="AT62" i="1"/>
  <c r="R62" i="10" s="1"/>
  <c r="D62" i="12" s="1"/>
  <c r="AT30" i="1"/>
  <c r="R30" i="10" s="1"/>
  <c r="D30" i="12" s="1"/>
  <c r="U30" i="12" s="1"/>
  <c r="BD62" i="1"/>
  <c r="AI62" i="10" s="1"/>
  <c r="BD30" i="1"/>
  <c r="AI30" i="10" s="1"/>
  <c r="BE59" i="1"/>
  <c r="AJ59" i="10" s="1"/>
  <c r="BE27" i="1"/>
  <c r="AJ27" i="10" s="1"/>
  <c r="BF56" i="1"/>
  <c r="AK56" i="10" s="1"/>
  <c r="BF24" i="1"/>
  <c r="AK24" i="10" s="1"/>
  <c r="BD38" i="1"/>
  <c r="AI38" i="10" s="1"/>
  <c r="BD6" i="1"/>
  <c r="BF64" i="1"/>
  <c r="AK64" i="10" s="1"/>
  <c r="BF32" i="1"/>
  <c r="AK32" i="10" s="1"/>
  <c r="AR42" i="1"/>
  <c r="P42" i="10" s="1"/>
  <c r="B42" i="12" s="1"/>
  <c r="AR10" i="1"/>
  <c r="P10" i="10" s="1"/>
  <c r="B10" i="12" s="1"/>
  <c r="S10" i="12" s="1"/>
  <c r="AS39" i="1"/>
  <c r="Q39" i="10" s="1"/>
  <c r="C39" i="12" s="1"/>
  <c r="T39" i="12" s="1"/>
  <c r="AT36" i="1"/>
  <c r="R36" i="10" s="1"/>
  <c r="D36" i="12" s="1"/>
  <c r="BD64" i="1"/>
  <c r="AI64" i="10" s="1"/>
  <c r="BD32" i="1"/>
  <c r="AI32" i="10" s="1"/>
  <c r="AR34" i="1"/>
  <c r="P34" i="10" s="1"/>
  <c r="B34" i="12" s="1"/>
  <c r="AS63" i="1"/>
  <c r="Q63" i="10" s="1"/>
  <c r="C63" i="12" s="1"/>
  <c r="AS31" i="1"/>
  <c r="Q31" i="10" s="1"/>
  <c r="C31" i="12" s="1"/>
  <c r="AT60" i="1"/>
  <c r="R60" i="10" s="1"/>
  <c r="D60" i="12" s="1"/>
  <c r="BD56" i="1"/>
  <c r="AI56" i="10" s="1"/>
  <c r="BE53" i="1"/>
  <c r="AJ53" i="10" s="1"/>
  <c r="BE21" i="1"/>
  <c r="AJ21" i="10" s="1"/>
  <c r="BF50" i="1"/>
  <c r="AK50" i="10" s="1"/>
  <c r="BF18" i="1"/>
  <c r="AK18" i="10" s="1"/>
  <c r="BD54" i="1"/>
  <c r="AI54" i="10" s="1"/>
  <c r="BD22" i="1"/>
  <c r="AI22" i="10" s="1"/>
  <c r="BE51" i="1"/>
  <c r="AJ51" i="10" s="1"/>
  <c r="BE19" i="1"/>
  <c r="AJ19" i="10" s="1"/>
  <c r="BF48" i="1"/>
  <c r="AK48" i="10" s="1"/>
  <c r="BF16" i="1"/>
  <c r="AK16" i="10" s="1"/>
  <c r="AR58" i="1"/>
  <c r="P58" i="10" s="1"/>
  <c r="B58" i="12" s="1"/>
  <c r="AR26" i="1"/>
  <c r="P26" i="10" s="1"/>
  <c r="B26" i="12" s="1"/>
  <c r="AS55" i="1"/>
  <c r="Q55" i="10" s="1"/>
  <c r="C55" i="12" s="1"/>
  <c r="AS23" i="1"/>
  <c r="Q23" i="10" s="1"/>
  <c r="C23" i="12" s="1"/>
  <c r="AT52" i="1"/>
  <c r="R52" i="10" s="1"/>
  <c r="D52" i="12" s="1"/>
  <c r="AT20" i="1"/>
  <c r="R20" i="10" s="1"/>
  <c r="D20" i="12" s="1"/>
  <c r="BD16" i="1"/>
  <c r="AI16" i="10" s="1"/>
  <c r="BE45" i="1"/>
  <c r="AJ45" i="10" s="1"/>
  <c r="BE13" i="1"/>
  <c r="AJ13" i="10" s="1"/>
  <c r="BF42" i="1"/>
  <c r="AK42" i="10" s="1"/>
  <c r="AR52" i="1"/>
  <c r="P52" i="10" s="1"/>
  <c r="B52" i="12" s="1"/>
  <c r="AR20" i="1"/>
  <c r="P20" i="10" s="1"/>
  <c r="B20" i="12" s="1"/>
  <c r="AS49" i="1"/>
  <c r="Q49" i="10" s="1"/>
  <c r="C49" i="12" s="1"/>
  <c r="AS17" i="1"/>
  <c r="Q17" i="10" s="1"/>
  <c r="C17" i="12" s="1"/>
  <c r="AT46" i="1"/>
  <c r="R46" i="10" s="1"/>
  <c r="D46" i="12" s="1"/>
  <c r="AT14" i="1"/>
  <c r="R14" i="10" s="1"/>
  <c r="D14" i="12" s="1"/>
  <c r="BD46" i="1"/>
  <c r="AI46" i="10" s="1"/>
  <c r="BD14" i="1"/>
  <c r="AI14" i="10" s="1"/>
  <c r="BE43" i="1"/>
  <c r="AJ43" i="10" s="1"/>
  <c r="BE11" i="1"/>
  <c r="AJ11" i="10" s="1"/>
  <c r="BF40" i="1"/>
  <c r="AK40" i="10" s="1"/>
  <c r="BF8" i="1"/>
  <c r="AR50" i="1"/>
  <c r="P50" i="10" s="1"/>
  <c r="B50" i="12" s="1"/>
  <c r="AR18" i="1"/>
  <c r="P18" i="10" s="1"/>
  <c r="B18" i="12" s="1"/>
  <c r="AS47" i="1"/>
  <c r="Q47" i="10" s="1"/>
  <c r="C47" i="12" s="1"/>
  <c r="T47" i="12" s="1"/>
  <c r="AS15" i="1"/>
  <c r="Q15" i="10" s="1"/>
  <c r="C15" i="12" s="1"/>
  <c r="AT44" i="1"/>
  <c r="R44" i="10" s="1"/>
  <c r="D44" i="12" s="1"/>
  <c r="AT12" i="1"/>
  <c r="R12" i="10" s="1"/>
  <c r="D12" i="12" s="1"/>
  <c r="BD40" i="1"/>
  <c r="AI40" i="10" s="1"/>
  <c r="BD8" i="1"/>
  <c r="BE37" i="1"/>
  <c r="AJ37" i="10" s="1"/>
  <c r="BE5" i="1"/>
  <c r="BF34" i="1"/>
  <c r="AK34" i="10" s="1"/>
  <c r="B56" i="12"/>
  <c r="S56" i="12" s="1"/>
  <c r="C60" i="12"/>
  <c r="AR59" i="1"/>
  <c r="P59" i="10" s="1"/>
  <c r="B59" i="12" s="1"/>
  <c r="AR51" i="1"/>
  <c r="P51" i="10" s="1"/>
  <c r="B51" i="12" s="1"/>
  <c r="AR43" i="1"/>
  <c r="P43" i="10" s="1"/>
  <c r="B43" i="12" s="1"/>
  <c r="AR35" i="1"/>
  <c r="P35" i="10" s="1"/>
  <c r="B35" i="12" s="1"/>
  <c r="AR27" i="1"/>
  <c r="P27" i="10" s="1"/>
  <c r="B27" i="12" s="1"/>
  <c r="AR19" i="1"/>
  <c r="P19" i="10" s="1"/>
  <c r="B19" i="12" s="1"/>
  <c r="AR11" i="1"/>
  <c r="P11" i="10" s="1"/>
  <c r="B11" i="12" s="1"/>
  <c r="AS64" i="1"/>
  <c r="Q64" i="10" s="1"/>
  <c r="C64" i="12" s="1"/>
  <c r="AS56" i="1"/>
  <c r="Q56" i="10" s="1"/>
  <c r="C56" i="12" s="1"/>
  <c r="T56" i="12" s="1"/>
  <c r="AS48" i="1"/>
  <c r="Q48" i="10" s="1"/>
  <c r="C48" i="12" s="1"/>
  <c r="AS40" i="1"/>
  <c r="Q40" i="10" s="1"/>
  <c r="C40" i="12" s="1"/>
  <c r="AS32" i="1"/>
  <c r="Q32" i="10" s="1"/>
  <c r="C32" i="12" s="1"/>
  <c r="AS24" i="1"/>
  <c r="Q24" i="10" s="1"/>
  <c r="C24" i="12" s="1"/>
  <c r="AS16" i="1"/>
  <c r="Q16" i="10" s="1"/>
  <c r="C16" i="12" s="1"/>
  <c r="AS8" i="1"/>
  <c r="AT61" i="1"/>
  <c r="R61" i="10" s="1"/>
  <c r="D61" i="12" s="1"/>
  <c r="AT53" i="1"/>
  <c r="R53" i="10" s="1"/>
  <c r="D53" i="12" s="1"/>
  <c r="AT45" i="1"/>
  <c r="R45" i="10" s="1"/>
  <c r="D45" i="12" s="1"/>
  <c r="AT37" i="1"/>
  <c r="R37" i="10" s="1"/>
  <c r="D37" i="12" s="1"/>
  <c r="AT29" i="1"/>
  <c r="R29" i="10" s="1"/>
  <c r="D29" i="12" s="1"/>
  <c r="AT21" i="1"/>
  <c r="R21" i="10" s="1"/>
  <c r="D21" i="12" s="1"/>
  <c r="U21" i="12" s="1"/>
  <c r="AT13" i="1"/>
  <c r="R13" i="10" s="1"/>
  <c r="D13" i="12" s="1"/>
  <c r="AT5" i="1"/>
  <c r="BD63" i="1"/>
  <c r="AI63" i="10" s="1"/>
  <c r="BD55" i="1"/>
  <c r="AI55" i="10" s="1"/>
  <c r="BD47" i="1"/>
  <c r="AI47" i="10" s="1"/>
  <c r="BD39" i="1"/>
  <c r="AI39" i="10" s="1"/>
  <c r="BD31" i="1"/>
  <c r="AI31" i="10" s="1"/>
  <c r="BD23" i="1"/>
  <c r="AI23" i="10" s="1"/>
  <c r="BD15" i="1"/>
  <c r="AI15" i="10" s="1"/>
  <c r="BD7" i="1"/>
  <c r="BE60" i="1"/>
  <c r="AJ60" i="10" s="1"/>
  <c r="BE52" i="1"/>
  <c r="AJ52" i="10" s="1"/>
  <c r="BE44" i="1"/>
  <c r="AJ44" i="10" s="1"/>
  <c r="BE36" i="1"/>
  <c r="AJ36" i="10" s="1"/>
  <c r="BE28" i="1"/>
  <c r="AJ28" i="10" s="1"/>
  <c r="BE20" i="1"/>
  <c r="AJ20" i="10" s="1"/>
  <c r="BE12" i="1"/>
  <c r="AJ12" i="10" s="1"/>
  <c r="BF4" i="1"/>
  <c r="BF57" i="1"/>
  <c r="AK57" i="10" s="1"/>
  <c r="BF49" i="1"/>
  <c r="AK49" i="10" s="1"/>
  <c r="BF41" i="1"/>
  <c r="AK41" i="10" s="1"/>
  <c r="BF33" i="1"/>
  <c r="AK33" i="10" s="1"/>
  <c r="BF25" i="1"/>
  <c r="AK25" i="10" s="1"/>
  <c r="BF17" i="1"/>
  <c r="AK17" i="10" s="1"/>
  <c r="BF9" i="1"/>
  <c r="AR4" i="1"/>
  <c r="AR57" i="1"/>
  <c r="P57" i="10" s="1"/>
  <c r="B57" i="12" s="1"/>
  <c r="AR49" i="1"/>
  <c r="P49" i="10" s="1"/>
  <c r="B49" i="12" s="1"/>
  <c r="AR41" i="1"/>
  <c r="P41" i="10" s="1"/>
  <c r="B41" i="12" s="1"/>
  <c r="AR33" i="1"/>
  <c r="P33" i="10" s="1"/>
  <c r="B33" i="12" s="1"/>
  <c r="AR25" i="1"/>
  <c r="P25" i="10" s="1"/>
  <c r="B25" i="12" s="1"/>
  <c r="AR17" i="1"/>
  <c r="P17" i="10" s="1"/>
  <c r="B17" i="12" s="1"/>
  <c r="AR9" i="1"/>
  <c r="AS62" i="1"/>
  <c r="Q62" i="10" s="1"/>
  <c r="C62" i="12" s="1"/>
  <c r="AS54" i="1"/>
  <c r="Q54" i="10" s="1"/>
  <c r="C54" i="12" s="1"/>
  <c r="AS46" i="1"/>
  <c r="Q46" i="10" s="1"/>
  <c r="C46" i="12" s="1"/>
  <c r="AS38" i="1"/>
  <c r="Q38" i="10" s="1"/>
  <c r="C38" i="12" s="1"/>
  <c r="AS30" i="1"/>
  <c r="Q30" i="10" s="1"/>
  <c r="C30" i="12" s="1"/>
  <c r="T30" i="12" s="1"/>
  <c r="AS22" i="1"/>
  <c r="Q22" i="10" s="1"/>
  <c r="C22" i="12" s="1"/>
  <c r="AS14" i="1"/>
  <c r="Q14" i="10" s="1"/>
  <c r="C14" i="12" s="1"/>
  <c r="AS6" i="1"/>
  <c r="AT59" i="1"/>
  <c r="R59" i="10" s="1"/>
  <c r="D59" i="12" s="1"/>
  <c r="AT51" i="1"/>
  <c r="R51" i="10" s="1"/>
  <c r="D51" i="12" s="1"/>
  <c r="AT43" i="1"/>
  <c r="R43" i="10" s="1"/>
  <c r="D43" i="12" s="1"/>
  <c r="AT35" i="1"/>
  <c r="R35" i="10" s="1"/>
  <c r="D35" i="12" s="1"/>
  <c r="AT27" i="1"/>
  <c r="R27" i="10" s="1"/>
  <c r="D27" i="12" s="1"/>
  <c r="AT19" i="1"/>
  <c r="R19" i="10" s="1"/>
  <c r="D19" i="12" s="1"/>
  <c r="AT11" i="1"/>
  <c r="R11" i="10" s="1"/>
  <c r="D11" i="12" s="1"/>
  <c r="BD61" i="1"/>
  <c r="AI61" i="10" s="1"/>
  <c r="BD53" i="1"/>
  <c r="AI53" i="10" s="1"/>
  <c r="BD45" i="1"/>
  <c r="AI45" i="10" s="1"/>
  <c r="BD37" i="1"/>
  <c r="AI37" i="10" s="1"/>
  <c r="BD29" i="1"/>
  <c r="AI29" i="10" s="1"/>
  <c r="BD21" i="1"/>
  <c r="AI21" i="10" s="1"/>
  <c r="BD13" i="1"/>
  <c r="AI13" i="10" s="1"/>
  <c r="BD5" i="1"/>
  <c r="BE58" i="1"/>
  <c r="AJ58" i="10" s="1"/>
  <c r="BE50" i="1"/>
  <c r="AJ50" i="10" s="1"/>
  <c r="BE42" i="1"/>
  <c r="AJ42" i="10" s="1"/>
  <c r="BE34" i="1"/>
  <c r="AJ34" i="10" s="1"/>
  <c r="BE26" i="1"/>
  <c r="AJ26" i="10" s="1"/>
  <c r="BE18" i="1"/>
  <c r="AJ18" i="10" s="1"/>
  <c r="BE10" i="1"/>
  <c r="AJ10" i="10" s="1"/>
  <c r="BF63" i="1"/>
  <c r="AK63" i="10" s="1"/>
  <c r="BF55" i="1"/>
  <c r="AK55" i="10" s="1"/>
  <c r="BF47" i="1"/>
  <c r="AK47" i="10" s="1"/>
  <c r="BF39" i="1"/>
  <c r="AK39" i="10" s="1"/>
  <c r="BF31" i="1"/>
  <c r="AK31" i="10" s="1"/>
  <c r="BF23" i="1"/>
  <c r="AK23" i="10" s="1"/>
  <c r="BF15" i="1"/>
  <c r="AK15" i="10" s="1"/>
  <c r="BF7" i="1"/>
  <c r="Q4" i="5"/>
  <c r="AB4" i="5" s="1"/>
  <c r="AH56" i="5"/>
  <c r="AJ56" i="5" s="1"/>
  <c r="AE4" i="5"/>
  <c r="AF4" i="5"/>
  <c r="AG4" i="5"/>
  <c r="AG30" i="5"/>
  <c r="AJ30" i="5" s="1"/>
  <c r="AA4" i="5"/>
  <c r="Z4" i="5"/>
  <c r="AC19" i="1"/>
  <c r="AN19" i="1" s="1"/>
  <c r="L19" i="10" s="1"/>
  <c r="K19" i="12" s="1"/>
  <c r="AD43" i="1"/>
  <c r="BA43" i="1" s="1"/>
  <c r="AF43" i="10" s="1"/>
  <c r="AE38" i="1"/>
  <c r="BB38" i="1" s="1"/>
  <c r="AG38" i="10" s="1"/>
  <c r="AE37" i="1"/>
  <c r="BB37" i="1" s="1"/>
  <c r="AG37" i="10" s="1"/>
  <c r="BJ49" i="1"/>
  <c r="Y34" i="1"/>
  <c r="AV34" i="1" s="1"/>
  <c r="BM28" i="1"/>
  <c r="Z29" i="1"/>
  <c r="AK29" i="1" s="1"/>
  <c r="I29" i="10" s="1"/>
  <c r="H29" i="12" s="1"/>
  <c r="BM11" i="1"/>
  <c r="Z12" i="1"/>
  <c r="AW12" i="1" s="1"/>
  <c r="AB12" i="10" s="1"/>
  <c r="Y32" i="1"/>
  <c r="AJ32" i="1" s="1"/>
  <c r="BJ18" i="1"/>
  <c r="Y31" i="1"/>
  <c r="AJ31" i="1" s="1"/>
  <c r="AD40" i="1"/>
  <c r="AO40" i="1" s="1"/>
  <c r="M40" i="10" s="1"/>
  <c r="L40" i="12" s="1"/>
  <c r="Y30" i="1"/>
  <c r="AJ30" i="1" s="1"/>
  <c r="AB22" i="1"/>
  <c r="AM22" i="1" s="1"/>
  <c r="K22" i="10" s="1"/>
  <c r="J22" i="12" s="1"/>
  <c r="AD26" i="1"/>
  <c r="BA26" i="1" s="1"/>
  <c r="AF26" i="10" s="1"/>
  <c r="AF42" i="1"/>
  <c r="BC42" i="1" s="1"/>
  <c r="AH42" i="10" s="1"/>
  <c r="AE5" i="1"/>
  <c r="AP5" i="1" s="1"/>
  <c r="AF58" i="1"/>
  <c r="AQ58" i="1" s="1"/>
  <c r="O58" i="10" s="1"/>
  <c r="N58" i="12" s="1"/>
  <c r="AB58" i="12" s="1"/>
  <c r="Z52" i="1"/>
  <c r="AK52" i="1" s="1"/>
  <c r="I52" i="10" s="1"/>
  <c r="H52" i="12" s="1"/>
  <c r="AC44" i="1"/>
  <c r="AN44" i="1" s="1"/>
  <c r="L44" i="10" s="1"/>
  <c r="K44" i="12" s="1"/>
  <c r="AE61" i="1"/>
  <c r="BB61" i="1" s="1"/>
  <c r="AG61" i="10" s="1"/>
  <c r="AF35" i="1"/>
  <c r="AQ35" i="1" s="1"/>
  <c r="O35" i="10" s="1"/>
  <c r="N35" i="12" s="1"/>
  <c r="BN49" i="1"/>
  <c r="BJ51" i="1"/>
  <c r="AA41" i="1"/>
  <c r="AX41" i="1" s="1"/>
  <c r="AC41" i="10" s="1"/>
  <c r="AB38" i="1"/>
  <c r="AM38" i="1" s="1"/>
  <c r="K38" i="10" s="1"/>
  <c r="J38" i="12" s="1"/>
  <c r="Z39" i="1"/>
  <c r="AK39" i="1" s="1"/>
  <c r="I39" i="10" s="1"/>
  <c r="H39" i="12" s="1"/>
  <c r="AD39" i="12" s="1"/>
  <c r="AC35" i="1"/>
  <c r="AN35" i="1" s="1"/>
  <c r="L35" i="10" s="1"/>
  <c r="K35" i="12" s="1"/>
  <c r="AE45" i="1"/>
  <c r="AP45" i="1" s="1"/>
  <c r="N45" i="10" s="1"/>
  <c r="M45" i="12" s="1"/>
  <c r="AF34" i="1"/>
  <c r="AQ34" i="1" s="1"/>
  <c r="O34" i="10" s="1"/>
  <c r="N34" i="12" s="1"/>
  <c r="BN32" i="1"/>
  <c r="AD41" i="1"/>
  <c r="AO41" i="1" s="1"/>
  <c r="M41" i="10" s="1"/>
  <c r="L41" i="12" s="1"/>
  <c r="Z30" i="1"/>
  <c r="AW30" i="1" s="1"/>
  <c r="AB30" i="10" s="1"/>
  <c r="AC21" i="1"/>
  <c r="AZ21" i="1" s="1"/>
  <c r="AE21" i="10" s="1"/>
  <c r="AE39" i="1"/>
  <c r="BB39" i="1" s="1"/>
  <c r="AG39" i="10" s="1"/>
  <c r="AW16" i="1"/>
  <c r="AB16" i="10" s="1"/>
  <c r="Z51" i="1"/>
  <c r="AK51" i="1" s="1"/>
  <c r="AC42" i="1"/>
  <c r="AA64" i="1"/>
  <c r="AL64" i="1" s="1"/>
  <c r="J64" i="10" s="1"/>
  <c r="I64" i="12" s="1"/>
  <c r="AD39" i="1"/>
  <c r="BA39" i="1" s="1"/>
  <c r="AF39" i="10" s="1"/>
  <c r="BN9" i="1"/>
  <c r="Y10" i="1"/>
  <c r="Z28" i="1"/>
  <c r="AK28" i="1" s="1"/>
  <c r="I28" i="10" s="1"/>
  <c r="H28" i="12" s="1"/>
  <c r="AB63" i="1"/>
  <c r="AM63" i="1" s="1"/>
  <c r="K63" i="10" s="1"/>
  <c r="J63" i="12" s="1"/>
  <c r="AC60" i="1"/>
  <c r="AN60" i="1" s="1"/>
  <c r="L60" i="10" s="1"/>
  <c r="K60" i="12" s="1"/>
  <c r="AC18" i="1"/>
  <c r="AZ18" i="1" s="1"/>
  <c r="AE18" i="10" s="1"/>
  <c r="AD24" i="1"/>
  <c r="AO24" i="1" s="1"/>
  <c r="M24" i="10" s="1"/>
  <c r="AE23" i="1"/>
  <c r="AP23" i="1" s="1"/>
  <c r="N23" i="10" s="1"/>
  <c r="M23" i="12" s="1"/>
  <c r="AF16" i="1"/>
  <c r="BC16" i="1" s="1"/>
  <c r="AH16" i="10" s="1"/>
  <c r="BI45" i="1"/>
  <c r="BL59" i="1"/>
  <c r="BO37" i="1"/>
  <c r="AB37" i="1"/>
  <c r="AY37" i="1" s="1"/>
  <c r="AD37" i="10" s="1"/>
  <c r="AB13" i="1"/>
  <c r="AY13" i="1" s="1"/>
  <c r="AD13" i="10" s="1"/>
  <c r="BH60" i="1"/>
  <c r="Y18" i="1"/>
  <c r="AJ18" i="1" s="1"/>
  <c r="AB5" i="1"/>
  <c r="AY5" i="1" s="1"/>
  <c r="BK9" i="1"/>
  <c r="Y4" i="1"/>
  <c r="AV4" i="1" s="1"/>
  <c r="Z55" i="1"/>
  <c r="AW55" i="1" s="1"/>
  <c r="AB55" i="10" s="1"/>
  <c r="Z15" i="1"/>
  <c r="AK15" i="1" s="1"/>
  <c r="I15" i="10" s="1"/>
  <c r="H15" i="12" s="1"/>
  <c r="AB61" i="1"/>
  <c r="AM61" i="1" s="1"/>
  <c r="K61" i="10" s="1"/>
  <c r="J61" i="12" s="1"/>
  <c r="AD4" i="1"/>
  <c r="AO4" i="1" s="1"/>
  <c r="AD16" i="1"/>
  <c r="AO16" i="1" s="1"/>
  <c r="M16" i="10" s="1"/>
  <c r="L16" i="12" s="1"/>
  <c r="AE21" i="1"/>
  <c r="AP21" i="1" s="1"/>
  <c r="N21" i="10" s="1"/>
  <c r="M21" i="12" s="1"/>
  <c r="AA21" i="12" s="1"/>
  <c r="AF14" i="1"/>
  <c r="BC14" i="1" s="1"/>
  <c r="AH14" i="10" s="1"/>
  <c r="BI16" i="1"/>
  <c r="BL55" i="1"/>
  <c r="Z11" i="1"/>
  <c r="AW11" i="1" s="1"/>
  <c r="AB11" i="10" s="1"/>
  <c r="BK50" i="1"/>
  <c r="AA20" i="1"/>
  <c r="AX20" i="1" s="1"/>
  <c r="AC20" i="10" s="1"/>
  <c r="BH25" i="1"/>
  <c r="Y55" i="1"/>
  <c r="AJ55" i="1" s="1"/>
  <c r="Z53" i="1"/>
  <c r="AK53" i="1" s="1"/>
  <c r="I53" i="10" s="1"/>
  <c r="H53" i="12" s="1"/>
  <c r="Z13" i="1"/>
  <c r="AK13" i="1" s="1"/>
  <c r="I13" i="10" s="1"/>
  <c r="H13" i="12" s="1"/>
  <c r="AB45" i="1"/>
  <c r="AM45" i="1" s="1"/>
  <c r="K45" i="10" s="1"/>
  <c r="J45" i="12" s="1"/>
  <c r="AC58" i="1"/>
  <c r="AN58" i="1" s="1"/>
  <c r="L58" i="10" s="1"/>
  <c r="K58" i="12" s="1"/>
  <c r="Y58" i="12" s="1"/>
  <c r="AD63" i="1"/>
  <c r="BA63" i="1" s="1"/>
  <c r="AF63" i="10" s="1"/>
  <c r="AD8" i="1"/>
  <c r="AO8" i="1" s="1"/>
  <c r="AE13" i="1"/>
  <c r="BB13" i="1" s="1"/>
  <c r="AG13" i="10" s="1"/>
  <c r="AJ13" i="1"/>
  <c r="BJ63" i="1"/>
  <c r="BS63" i="1" s="1"/>
  <c r="BL15" i="1"/>
  <c r="BB48" i="1"/>
  <c r="AG48" i="10" s="1"/>
  <c r="AP48" i="1"/>
  <c r="N48" i="10" s="1"/>
  <c r="AQ37" i="1"/>
  <c r="O37" i="10" s="1"/>
  <c r="N37" i="12" s="1"/>
  <c r="BC37" i="1"/>
  <c r="AH37" i="10" s="1"/>
  <c r="AV25" i="1"/>
  <c r="AJ25" i="1"/>
  <c r="BA11" i="1"/>
  <c r="AF11" i="10" s="1"/>
  <c r="AO11" i="1"/>
  <c r="M11" i="10" s="1"/>
  <c r="L11" i="12" s="1"/>
  <c r="BI49" i="1"/>
  <c r="BL24" i="1"/>
  <c r="BM45" i="1"/>
  <c r="Y54" i="1"/>
  <c r="Y33" i="1"/>
  <c r="AV33" i="1" s="1"/>
  <c r="Y17" i="1"/>
  <c r="AJ17" i="1" s="1"/>
  <c r="Z54" i="1"/>
  <c r="AW54" i="1" s="1"/>
  <c r="AB54" i="10" s="1"/>
  <c r="Z31" i="1"/>
  <c r="AW31" i="1" s="1"/>
  <c r="AB31" i="10" s="1"/>
  <c r="Z14" i="1"/>
  <c r="AK14" i="1" s="1"/>
  <c r="I14" i="10" s="1"/>
  <c r="H14" i="12" s="1"/>
  <c r="AA60" i="1"/>
  <c r="AA40" i="1"/>
  <c r="AA16" i="1"/>
  <c r="AX16" i="1" s="1"/>
  <c r="AC16" i="10" s="1"/>
  <c r="AB62" i="1"/>
  <c r="AM62" i="1" s="1"/>
  <c r="K62" i="10" s="1"/>
  <c r="J62" i="12" s="1"/>
  <c r="AB41" i="1"/>
  <c r="AM41" i="1" s="1"/>
  <c r="K41" i="10" s="1"/>
  <c r="J41" i="12" s="1"/>
  <c r="AB21" i="1"/>
  <c r="AM21" i="1" s="1"/>
  <c r="K21" i="10" s="1"/>
  <c r="J21" i="12" s="1"/>
  <c r="X21" i="12" s="1"/>
  <c r="AC62" i="1"/>
  <c r="AC43" i="1"/>
  <c r="AN43" i="1" s="1"/>
  <c r="L43" i="10" s="1"/>
  <c r="K43" i="12" s="1"/>
  <c r="AC20" i="1"/>
  <c r="AN20" i="1" s="1"/>
  <c r="L20" i="10" s="1"/>
  <c r="K20" i="12" s="1"/>
  <c r="AD64" i="1"/>
  <c r="AO64" i="1" s="1"/>
  <c r="M64" i="10" s="1"/>
  <c r="L64" i="12" s="1"/>
  <c r="AD42" i="1"/>
  <c r="BA42" i="1" s="1"/>
  <c r="AF42" i="10" s="1"/>
  <c r="AD25" i="1"/>
  <c r="BA25" i="1" s="1"/>
  <c r="AF25" i="10" s="1"/>
  <c r="AE64" i="1"/>
  <c r="AP64" i="1" s="1"/>
  <c r="N64" i="10" s="1"/>
  <c r="AE40" i="1"/>
  <c r="BB40" i="1" s="1"/>
  <c r="AG40" i="10" s="1"/>
  <c r="AE22" i="1"/>
  <c r="AP22" i="1" s="1"/>
  <c r="N22" i="10" s="1"/>
  <c r="M22" i="12" s="1"/>
  <c r="AF61" i="1"/>
  <c r="AQ61" i="1" s="1"/>
  <c r="O61" i="10" s="1"/>
  <c r="N61" i="12" s="1"/>
  <c r="AF15" i="1"/>
  <c r="BC15" i="1" s="1"/>
  <c r="AH15" i="10" s="1"/>
  <c r="BH59" i="1"/>
  <c r="BH13" i="1"/>
  <c r="BI48" i="1"/>
  <c r="BI10" i="1"/>
  <c r="BJ50" i="1"/>
  <c r="BJ17" i="1"/>
  <c r="BK49" i="1"/>
  <c r="BL64" i="1"/>
  <c r="BL23" i="1"/>
  <c r="BM44" i="1"/>
  <c r="BN25" i="1"/>
  <c r="Y50" i="1"/>
  <c r="AJ50" i="1" s="1"/>
  <c r="AA52" i="1"/>
  <c r="AX52" i="1" s="1"/>
  <c r="AC52" i="10" s="1"/>
  <c r="BH58" i="1"/>
  <c r="BK35" i="1"/>
  <c r="BL22" i="1"/>
  <c r="Y49" i="1"/>
  <c r="AJ49" i="1" s="1"/>
  <c r="Y9" i="1"/>
  <c r="AA28" i="1"/>
  <c r="AX28" i="1" s="1"/>
  <c r="AC28" i="10" s="1"/>
  <c r="AD19" i="1"/>
  <c r="BA19" i="1" s="1"/>
  <c r="AF19" i="10" s="1"/>
  <c r="AQ14" i="1"/>
  <c r="O14" i="10" s="1"/>
  <c r="N14" i="12" s="1"/>
  <c r="BH57" i="1"/>
  <c r="BJ6" i="1"/>
  <c r="BL56" i="1"/>
  <c r="Y8" i="1"/>
  <c r="AJ8" i="1" s="1"/>
  <c r="AF52" i="1"/>
  <c r="BC52" i="1" s="1"/>
  <c r="AH52" i="10" s="1"/>
  <c r="AF7" i="1"/>
  <c r="BC7" i="1" s="1"/>
  <c r="BI38" i="1"/>
  <c r="BJ30" i="1"/>
  <c r="Y46" i="1"/>
  <c r="Y26" i="1"/>
  <c r="Y7" i="1"/>
  <c r="AJ7" i="1" s="1"/>
  <c r="Z47" i="1"/>
  <c r="AK47" i="1" s="1"/>
  <c r="I47" i="10" s="1"/>
  <c r="H47" i="12" s="1"/>
  <c r="AD47" i="12" s="1"/>
  <c r="Z27" i="1"/>
  <c r="AK27" i="1" s="1"/>
  <c r="I27" i="10" s="1"/>
  <c r="H27" i="12" s="1"/>
  <c r="Z7" i="1"/>
  <c r="AA26" i="1"/>
  <c r="AL26" i="1" s="1"/>
  <c r="J26" i="10" s="1"/>
  <c r="I26" i="12" s="1"/>
  <c r="AA9" i="1"/>
  <c r="AX9" i="1" s="1"/>
  <c r="AB48" i="1"/>
  <c r="AY48" i="1" s="1"/>
  <c r="AD48" i="10" s="1"/>
  <c r="AB25" i="1"/>
  <c r="AY25" i="1" s="1"/>
  <c r="AD25" i="10" s="1"/>
  <c r="AB8" i="1"/>
  <c r="AM8" i="1" s="1"/>
  <c r="AC54" i="1"/>
  <c r="AC34" i="1"/>
  <c r="AC10" i="1"/>
  <c r="AZ10" i="1" s="1"/>
  <c r="AE10" i="10" s="1"/>
  <c r="AD56" i="1"/>
  <c r="AO56" i="1" s="1"/>
  <c r="M56" i="10" s="1"/>
  <c r="L56" i="12" s="1"/>
  <c r="AD35" i="1"/>
  <c r="BA35" i="1" s="1"/>
  <c r="AF35" i="10" s="1"/>
  <c r="AE54" i="1"/>
  <c r="AP54" i="1" s="1"/>
  <c r="N54" i="10" s="1"/>
  <c r="M54" i="12" s="1"/>
  <c r="AE8" i="1"/>
  <c r="AF51" i="1"/>
  <c r="BC51" i="1" s="1"/>
  <c r="AH51" i="10" s="1"/>
  <c r="AF25" i="1"/>
  <c r="BC25" i="1" s="1"/>
  <c r="AH25" i="10" s="1"/>
  <c r="AF6" i="1"/>
  <c r="BC6" i="1" s="1"/>
  <c r="BH40" i="1"/>
  <c r="BI58" i="1"/>
  <c r="BI37" i="1"/>
  <c r="BJ62" i="1"/>
  <c r="BJ29" i="1"/>
  <c r="BK59" i="1"/>
  <c r="BK19" i="1"/>
  <c r="BL6" i="1"/>
  <c r="BN48" i="1"/>
  <c r="BO55" i="1"/>
  <c r="AA12" i="1"/>
  <c r="AL12" i="1" s="1"/>
  <c r="J12" i="10" s="1"/>
  <c r="I12" i="12" s="1"/>
  <c r="AB57" i="1"/>
  <c r="AD59" i="1"/>
  <c r="AO59" i="1" s="1"/>
  <c r="M59" i="10" s="1"/>
  <c r="L59" i="12" s="1"/>
  <c r="AF53" i="1"/>
  <c r="AQ53" i="1" s="1"/>
  <c r="O53" i="10" s="1"/>
  <c r="N53" i="12" s="1"/>
  <c r="BI8" i="1"/>
  <c r="BS8" i="1" s="1"/>
  <c r="BN50" i="1"/>
  <c r="Y47" i="1"/>
  <c r="AJ47" i="1" s="1"/>
  <c r="AA10" i="1"/>
  <c r="AL10" i="1" s="1"/>
  <c r="J10" i="10" s="1"/>
  <c r="I10" i="12" s="1"/>
  <c r="W10" i="12" s="1"/>
  <c r="AD57" i="1"/>
  <c r="AO57" i="1" s="1"/>
  <c r="M57" i="10" s="1"/>
  <c r="L57" i="12" s="1"/>
  <c r="AE55" i="1"/>
  <c r="BB55" i="1" s="1"/>
  <c r="AG55" i="10" s="1"/>
  <c r="BH43" i="1"/>
  <c r="BJ5" i="1"/>
  <c r="BO12" i="1"/>
  <c r="Y42" i="1"/>
  <c r="AJ42" i="1" s="1"/>
  <c r="Y6" i="1"/>
  <c r="AJ6" i="1" s="1"/>
  <c r="Z44" i="1"/>
  <c r="AW44" i="1" s="1"/>
  <c r="AB44" i="10" s="1"/>
  <c r="Z23" i="1"/>
  <c r="Z5" i="1"/>
  <c r="AK5" i="1" s="1"/>
  <c r="AA48" i="1"/>
  <c r="AA25" i="1"/>
  <c r="AL25" i="1" s="1"/>
  <c r="J25" i="10" s="1"/>
  <c r="I25" i="12" s="1"/>
  <c r="AA8" i="1"/>
  <c r="AB47" i="1"/>
  <c r="AM47" i="1" s="1"/>
  <c r="K47" i="10" s="1"/>
  <c r="J47" i="12" s="1"/>
  <c r="X47" i="12" s="1"/>
  <c r="AB24" i="1"/>
  <c r="AY24" i="1" s="1"/>
  <c r="AD24" i="10" s="1"/>
  <c r="AB7" i="1"/>
  <c r="AY7" i="1" s="1"/>
  <c r="AC46" i="1"/>
  <c r="AZ46" i="1" s="1"/>
  <c r="AE46" i="10" s="1"/>
  <c r="AC30" i="1"/>
  <c r="AZ30" i="1" s="1"/>
  <c r="AE30" i="10" s="1"/>
  <c r="AD55" i="1"/>
  <c r="BA55" i="1" s="1"/>
  <c r="AF55" i="10" s="1"/>
  <c r="AD32" i="1"/>
  <c r="AO32" i="1" s="1"/>
  <c r="M32" i="10" s="1"/>
  <c r="L32" i="12" s="1"/>
  <c r="Z32" i="12" s="1"/>
  <c r="AD10" i="1"/>
  <c r="AE53" i="1"/>
  <c r="AE29" i="1"/>
  <c r="AP29" i="1" s="1"/>
  <c r="N29" i="10" s="1"/>
  <c r="M29" i="12" s="1"/>
  <c r="AE7" i="1"/>
  <c r="AF50" i="1"/>
  <c r="BC50" i="1" s="1"/>
  <c r="AH50" i="10" s="1"/>
  <c r="AF20" i="1"/>
  <c r="BC20" i="1" s="1"/>
  <c r="AH20" i="10" s="1"/>
  <c r="AF5" i="1"/>
  <c r="AK11" i="1"/>
  <c r="I11" i="10" s="1"/>
  <c r="H11" i="12" s="1"/>
  <c r="BI57" i="1"/>
  <c r="BI26" i="1"/>
  <c r="BJ61" i="1"/>
  <c r="BK56" i="1"/>
  <c r="BK18" i="1"/>
  <c r="BL38" i="1"/>
  <c r="BM61" i="1"/>
  <c r="BM20" i="1"/>
  <c r="BN47" i="1"/>
  <c r="BO54" i="1"/>
  <c r="AA36" i="1"/>
  <c r="AL36" i="1" s="1"/>
  <c r="J36" i="10" s="1"/>
  <c r="I36" i="12" s="1"/>
  <c r="AB17" i="1"/>
  <c r="BH11" i="1"/>
  <c r="BI9" i="1"/>
  <c r="BN16" i="1"/>
  <c r="AA11" i="1"/>
  <c r="AL11" i="1" s="1"/>
  <c r="J11" i="10" s="1"/>
  <c r="I11" i="12" s="1"/>
  <c r="AE56" i="1"/>
  <c r="AP56" i="1" s="1"/>
  <c r="N56" i="10" s="1"/>
  <c r="M56" i="12" s="1"/>
  <c r="AF13" i="1"/>
  <c r="BJ44" i="1"/>
  <c r="BK34" i="1"/>
  <c r="BM29" i="1"/>
  <c r="AA27" i="1"/>
  <c r="AX27" i="1" s="1"/>
  <c r="AC27" i="10" s="1"/>
  <c r="AB33" i="1"/>
  <c r="AM33" i="1" s="1"/>
  <c r="K33" i="10" s="1"/>
  <c r="J33" i="12" s="1"/>
  <c r="AC14" i="1"/>
  <c r="AF29" i="1"/>
  <c r="BC29" i="1" s="1"/>
  <c r="AH29" i="10" s="1"/>
  <c r="BI64" i="1"/>
  <c r="BK26" i="1"/>
  <c r="Y56" i="1"/>
  <c r="AJ56" i="1" s="1"/>
  <c r="Y41" i="1"/>
  <c r="Y22" i="1"/>
  <c r="AV22" i="1" s="1"/>
  <c r="Z63" i="1"/>
  <c r="Z43" i="1"/>
  <c r="Z19" i="1"/>
  <c r="AW19" i="1" s="1"/>
  <c r="AB19" i="10" s="1"/>
  <c r="AA4" i="1"/>
  <c r="AL4" i="1" s="1"/>
  <c r="AA24" i="1"/>
  <c r="AL24" i="1" s="1"/>
  <c r="J24" i="10" s="1"/>
  <c r="I24" i="12" s="1"/>
  <c r="AB4" i="1"/>
  <c r="AB46" i="1"/>
  <c r="AM46" i="1" s="1"/>
  <c r="K46" i="10" s="1"/>
  <c r="J46" i="12" s="1"/>
  <c r="AB23" i="1"/>
  <c r="AM23" i="1" s="1"/>
  <c r="K23" i="10" s="1"/>
  <c r="J23" i="12" s="1"/>
  <c r="AB6" i="1"/>
  <c r="AM6" i="1" s="1"/>
  <c r="AC45" i="1"/>
  <c r="AZ45" i="1" s="1"/>
  <c r="AE45" i="10" s="1"/>
  <c r="AC5" i="1"/>
  <c r="AZ5" i="1" s="1"/>
  <c r="AD51" i="1"/>
  <c r="AD27" i="1"/>
  <c r="AO27" i="1" s="1"/>
  <c r="M27" i="10" s="1"/>
  <c r="L27" i="12" s="1"/>
  <c r="AD9" i="1"/>
  <c r="BA9" i="1" s="1"/>
  <c r="AE24" i="1"/>
  <c r="BB24" i="1" s="1"/>
  <c r="AG24" i="10" s="1"/>
  <c r="AE6" i="1"/>
  <c r="AF45" i="1"/>
  <c r="AF17" i="1"/>
  <c r="AQ17" i="1" s="1"/>
  <c r="O17" i="10" s="1"/>
  <c r="N17" i="12" s="1"/>
  <c r="AK10" i="1"/>
  <c r="I10" i="10" s="1"/>
  <c r="H10" i="12" s="1"/>
  <c r="AD10" i="12" s="1"/>
  <c r="BH61" i="1"/>
  <c r="BH28" i="1"/>
  <c r="BI56" i="1"/>
  <c r="BI25" i="1"/>
  <c r="BJ54" i="1"/>
  <c r="BJ21" i="1"/>
  <c r="BK51" i="1"/>
  <c r="BL31" i="1"/>
  <c r="BM60" i="1"/>
  <c r="BN42" i="1"/>
  <c r="BO47" i="1"/>
  <c r="AJ48" i="1"/>
  <c r="AV48" i="1"/>
  <c r="AJ40" i="1"/>
  <c r="AV40" i="1"/>
  <c r="AK38" i="1"/>
  <c r="I38" i="10" s="1"/>
  <c r="H38" i="12" s="1"/>
  <c r="AW38" i="1"/>
  <c r="AB38" i="10" s="1"/>
  <c r="BB47" i="1"/>
  <c r="AG47" i="10" s="1"/>
  <c r="AP47" i="1"/>
  <c r="N47" i="10" s="1"/>
  <c r="M47" i="12" s="1"/>
  <c r="AA47" i="12" s="1"/>
  <c r="BC28" i="1"/>
  <c r="AH28" i="10" s="1"/>
  <c r="AQ28" i="1"/>
  <c r="O28" i="10" s="1"/>
  <c r="N28" i="12" s="1"/>
  <c r="AM39" i="1"/>
  <c r="K39" i="10" s="1"/>
  <c r="J39" i="12" s="1"/>
  <c r="X39" i="12" s="1"/>
  <c r="AY39" i="1"/>
  <c r="AD39" i="10" s="1"/>
  <c r="AP30" i="1"/>
  <c r="N30" i="10" s="1"/>
  <c r="M30" i="12" s="1"/>
  <c r="BB30" i="1"/>
  <c r="AG30" i="10" s="1"/>
  <c r="AJ24" i="1"/>
  <c r="AV24" i="1"/>
  <c r="AK37" i="1"/>
  <c r="I37" i="10" s="1"/>
  <c r="H37" i="12" s="1"/>
  <c r="AW37" i="1"/>
  <c r="AB37" i="10" s="1"/>
  <c r="AM14" i="1"/>
  <c r="K14" i="10" s="1"/>
  <c r="J14" i="12" s="1"/>
  <c r="AY14" i="1"/>
  <c r="AD14" i="10" s="1"/>
  <c r="AW22" i="1"/>
  <c r="AB22" i="10" s="1"/>
  <c r="AK22" i="1"/>
  <c r="I22" i="10" s="1"/>
  <c r="H22" i="12" s="1"/>
  <c r="AY56" i="1"/>
  <c r="AD56" i="10" s="1"/>
  <c r="AM56" i="1"/>
  <c r="K56" i="10" s="1"/>
  <c r="J56" i="12" s="1"/>
  <c r="AK45" i="1"/>
  <c r="I45" i="10" s="1"/>
  <c r="H45" i="12" s="1"/>
  <c r="AW45" i="1"/>
  <c r="AB45" i="10" s="1"/>
  <c r="AL18" i="1"/>
  <c r="J18" i="10" s="1"/>
  <c r="I18" i="12" s="1"/>
  <c r="AX18" i="1"/>
  <c r="AC18" i="10" s="1"/>
  <c r="AL17" i="1"/>
  <c r="J17" i="10" s="1"/>
  <c r="I17" i="12" s="1"/>
  <c r="AX17" i="1"/>
  <c r="AC17" i="10" s="1"/>
  <c r="AV11" i="1"/>
  <c r="AJ11" i="1"/>
  <c r="AW57" i="1"/>
  <c r="AB57" i="10" s="1"/>
  <c r="AK57" i="1"/>
  <c r="I57" i="10" s="1"/>
  <c r="H57" i="12" s="1"/>
  <c r="AX54" i="1"/>
  <c r="AC54" i="10" s="1"/>
  <c r="AL54" i="1"/>
  <c r="J54" i="10" s="1"/>
  <c r="I54" i="12" s="1"/>
  <c r="AV43" i="1"/>
  <c r="AJ43" i="1"/>
  <c r="AW49" i="1"/>
  <c r="AB49" i="10" s="1"/>
  <c r="AK49" i="1"/>
  <c r="I49" i="10" s="1"/>
  <c r="H49" i="12" s="1"/>
  <c r="AW25" i="1"/>
  <c r="AB25" i="10" s="1"/>
  <c r="AK25" i="1"/>
  <c r="I25" i="10" s="1"/>
  <c r="H25" i="12" s="1"/>
  <c r="AY51" i="1"/>
  <c r="AD51" i="10" s="1"/>
  <c r="AM51" i="1"/>
  <c r="K51" i="10" s="1"/>
  <c r="J51" i="12" s="1"/>
  <c r="AY19" i="1"/>
  <c r="AD19" i="10" s="1"/>
  <c r="AM19" i="1"/>
  <c r="K19" i="10" s="1"/>
  <c r="J19" i="12" s="1"/>
  <c r="BB42" i="1"/>
  <c r="AG42" i="10" s="1"/>
  <c r="AP42" i="1"/>
  <c r="N42" i="10" s="1"/>
  <c r="M42" i="12" s="1"/>
  <c r="AL62" i="1"/>
  <c r="J62" i="10" s="1"/>
  <c r="I62" i="12" s="1"/>
  <c r="AM59" i="1"/>
  <c r="K59" i="10" s="1"/>
  <c r="J59" i="12" s="1"/>
  <c r="AN56" i="1"/>
  <c r="L56" i="10" s="1"/>
  <c r="K56" i="12" s="1"/>
  <c r="AP50" i="1"/>
  <c r="N50" i="10" s="1"/>
  <c r="M50" i="12" s="1"/>
  <c r="AQ47" i="1"/>
  <c r="O47" i="10" s="1"/>
  <c r="N47" i="12" s="1"/>
  <c r="AB47" i="12" s="1"/>
  <c r="BA61" i="1"/>
  <c r="AF61" i="10" s="1"/>
  <c r="AW8" i="1"/>
  <c r="AK8" i="1"/>
  <c r="AX5" i="1"/>
  <c r="AL5" i="1"/>
  <c r="AY34" i="1"/>
  <c r="AD34" i="10" s="1"/>
  <c r="AM34" i="1"/>
  <c r="K34" i="10" s="1"/>
  <c r="J34" i="12" s="1"/>
  <c r="AZ31" i="1"/>
  <c r="AE31" i="10" s="1"/>
  <c r="AN31" i="1"/>
  <c r="L31" i="10" s="1"/>
  <c r="K31" i="12" s="1"/>
  <c r="BA60" i="1"/>
  <c r="AF60" i="10" s="1"/>
  <c r="AO60" i="1"/>
  <c r="M60" i="10" s="1"/>
  <c r="L60" i="12" s="1"/>
  <c r="BA28" i="1"/>
  <c r="AF28" i="10" s="1"/>
  <c r="AO28" i="1"/>
  <c r="M28" i="10" s="1"/>
  <c r="L28" i="12" s="1"/>
  <c r="BB25" i="1"/>
  <c r="AG25" i="10" s="1"/>
  <c r="AP25" i="1"/>
  <c r="N25" i="10" s="1"/>
  <c r="M25" i="12" s="1"/>
  <c r="BC54" i="1"/>
  <c r="AH54" i="10" s="1"/>
  <c r="AQ54" i="1"/>
  <c r="O54" i="10" s="1"/>
  <c r="N54" i="12" s="1"/>
  <c r="AZ6" i="1"/>
  <c r="AN6" i="1"/>
  <c r="AK64" i="1"/>
  <c r="I64" i="10" s="1"/>
  <c r="H64" i="12" s="1"/>
  <c r="AL61" i="1"/>
  <c r="J61" i="10" s="1"/>
  <c r="I61" i="12" s="1"/>
  <c r="AN55" i="1"/>
  <c r="L55" i="10" s="1"/>
  <c r="K55" i="12" s="1"/>
  <c r="AP49" i="1"/>
  <c r="N49" i="10" s="1"/>
  <c r="M49" i="12" s="1"/>
  <c r="AY9" i="1"/>
  <c r="AL50" i="1"/>
  <c r="J50" i="10" s="1"/>
  <c r="I50" i="12" s="1"/>
  <c r="AX50" i="1"/>
  <c r="AC50" i="10" s="1"/>
  <c r="AF36" i="1"/>
  <c r="AM35" i="1"/>
  <c r="K35" i="10" s="1"/>
  <c r="J35" i="12" s="1"/>
  <c r="AO29" i="1"/>
  <c r="M29" i="10" s="1"/>
  <c r="L29" i="12" s="1"/>
  <c r="AV59" i="1"/>
  <c r="AW56" i="1"/>
  <c r="AB56" i="10" s="1"/>
  <c r="AY50" i="1"/>
  <c r="AD50" i="10" s="1"/>
  <c r="BC12" i="1"/>
  <c r="AH12" i="10" s="1"/>
  <c r="AQ12" i="1"/>
  <c r="O12" i="10" s="1"/>
  <c r="N12" i="12" s="1"/>
  <c r="Y16" i="1"/>
  <c r="AL49" i="1"/>
  <c r="J49" i="10" s="1"/>
  <c r="I49" i="12" s="1"/>
  <c r="AX49" i="1"/>
  <c r="AC49" i="10" s="1"/>
  <c r="AA35" i="1"/>
  <c r="AB32" i="1"/>
  <c r="AC29" i="1"/>
  <c r="AO44" i="1"/>
  <c r="M44" i="10" s="1"/>
  <c r="L44" i="12" s="1"/>
  <c r="BO11" i="1"/>
  <c r="AF11" i="1"/>
  <c r="Y15" i="1"/>
  <c r="Z62" i="1"/>
  <c r="AA59" i="1"/>
  <c r="AA34" i="1"/>
  <c r="AB31" i="1"/>
  <c r="AC53" i="1"/>
  <c r="AC28" i="1"/>
  <c r="AD50" i="1"/>
  <c r="AJ58" i="1"/>
  <c r="AL30" i="1"/>
  <c r="J30" i="10" s="1"/>
  <c r="I30" i="12" s="1"/>
  <c r="AM49" i="1"/>
  <c r="K49" i="10" s="1"/>
  <c r="J49" i="12" s="1"/>
  <c r="AN24" i="1"/>
  <c r="L24" i="10" s="1"/>
  <c r="K24" i="12" s="1"/>
  <c r="AV51" i="1"/>
  <c r="AW48" i="1"/>
  <c r="AB48" i="10" s="1"/>
  <c r="BH24" i="1"/>
  <c r="BO28" i="1"/>
  <c r="AA33" i="1"/>
  <c r="AV61" i="1"/>
  <c r="AJ61" i="1"/>
  <c r="BH45" i="1"/>
  <c r="Y45" i="1"/>
  <c r="BM31" i="1"/>
  <c r="AD31" i="1"/>
  <c r="BM23" i="1"/>
  <c r="AD23" i="1"/>
  <c r="BM15" i="1"/>
  <c r="AD15" i="1"/>
  <c r="BM7" i="1"/>
  <c r="AD7" i="1"/>
  <c r="BN60" i="1"/>
  <c r="AE60" i="1"/>
  <c r="BN52" i="1"/>
  <c r="AE52" i="1"/>
  <c r="BN44" i="1"/>
  <c r="AE44" i="1"/>
  <c r="BN36" i="1"/>
  <c r="AE36" i="1"/>
  <c r="BN28" i="1"/>
  <c r="AE28" i="1"/>
  <c r="BN20" i="1"/>
  <c r="AE20" i="1"/>
  <c r="BN12" i="1"/>
  <c r="AE12" i="1"/>
  <c r="BO4" i="1"/>
  <c r="AF4" i="1"/>
  <c r="BO57" i="1"/>
  <c r="AF57" i="1"/>
  <c r="BO49" i="1"/>
  <c r="AF49" i="1"/>
  <c r="BO41" i="1"/>
  <c r="AF41" i="1"/>
  <c r="BO33" i="1"/>
  <c r="AF33" i="1"/>
  <c r="BO9" i="1"/>
  <c r="AF9" i="1"/>
  <c r="Y63" i="1"/>
  <c r="Y38" i="1"/>
  <c r="Z60" i="1"/>
  <c r="Z46" i="1"/>
  <c r="Z35" i="1"/>
  <c r="Z21" i="1"/>
  <c r="AA57" i="1"/>
  <c r="AA43" i="1"/>
  <c r="AA32" i="1"/>
  <c r="AB54" i="1"/>
  <c r="AB40" i="1"/>
  <c r="AB29" i="1"/>
  <c r="AB15" i="1"/>
  <c r="AC51" i="1"/>
  <c r="AC37" i="1"/>
  <c r="AC26" i="1"/>
  <c r="AC12" i="1"/>
  <c r="AD48" i="1"/>
  <c r="AD34" i="1"/>
  <c r="AD18" i="1"/>
  <c r="AE63" i="1"/>
  <c r="AE31" i="1"/>
  <c r="AE15" i="1"/>
  <c r="AF60" i="1"/>
  <c r="AF44" i="1"/>
  <c r="AJ12" i="1"/>
  <c r="AK9" i="1"/>
  <c r="AL6" i="1"/>
  <c r="AN64" i="1"/>
  <c r="L64" i="10" s="1"/>
  <c r="K64" i="12" s="1"/>
  <c r="AN22" i="1"/>
  <c r="L22" i="10" s="1"/>
  <c r="K22" i="12" s="1"/>
  <c r="AP16" i="1"/>
  <c r="N16" i="10" s="1"/>
  <c r="M16" i="12" s="1"/>
  <c r="AQ55" i="1"/>
  <c r="O55" i="10" s="1"/>
  <c r="N55" i="12" s="1"/>
  <c r="AX21" i="1"/>
  <c r="AC21" i="10" s="1"/>
  <c r="AY18" i="1"/>
  <c r="AD18" i="10" s="1"/>
  <c r="AZ59" i="1"/>
  <c r="AE59" i="10" s="1"/>
  <c r="BA45" i="1"/>
  <c r="AF45" i="10" s="1"/>
  <c r="BH12" i="1"/>
  <c r="BI22" i="1"/>
  <c r="BN30" i="1"/>
  <c r="AF26" i="1"/>
  <c r="BO26" i="1"/>
  <c r="AF18" i="1"/>
  <c r="BO18" i="1"/>
  <c r="BO10" i="1"/>
  <c r="AF10" i="1"/>
  <c r="Y64" i="1"/>
  <c r="AV64" i="1" s="1"/>
  <c r="Y39" i="1"/>
  <c r="Y14" i="1"/>
  <c r="Z61" i="1"/>
  <c r="Z36" i="1"/>
  <c r="AA58" i="1"/>
  <c r="AA19" i="1"/>
  <c r="AB55" i="1"/>
  <c r="AB30" i="1"/>
  <c r="AB16" i="1"/>
  <c r="AC52" i="1"/>
  <c r="AC27" i="1"/>
  <c r="AC13" i="1"/>
  <c r="AD49" i="1"/>
  <c r="BB32" i="1"/>
  <c r="AG32" i="10" s="1"/>
  <c r="AP32" i="1"/>
  <c r="N32" i="10" s="1"/>
  <c r="AJ57" i="1"/>
  <c r="AL51" i="1"/>
  <c r="J51" i="10" s="1"/>
  <c r="I51" i="12" s="1"/>
  <c r="AL29" i="1"/>
  <c r="J29" i="10" s="1"/>
  <c r="I29" i="12" s="1"/>
  <c r="AM26" i="1"/>
  <c r="K26" i="10" s="1"/>
  <c r="J26" i="12" s="1"/>
  <c r="AN23" i="1"/>
  <c r="L23" i="10" s="1"/>
  <c r="K23" i="12" s="1"/>
  <c r="AO20" i="1"/>
  <c r="M20" i="10" s="1"/>
  <c r="L20" i="12" s="1"/>
  <c r="AX44" i="1"/>
  <c r="AC44" i="10" s="1"/>
  <c r="AZ38" i="1"/>
  <c r="AE38" i="10" s="1"/>
  <c r="BC19" i="1"/>
  <c r="AH19" i="10" s="1"/>
  <c r="BH48" i="1"/>
  <c r="BK39" i="1"/>
  <c r="BK14" i="1"/>
  <c r="BO19" i="1"/>
  <c r="BH53" i="1"/>
  <c r="BS53" i="1" s="1"/>
  <c r="Y53" i="1"/>
  <c r="BH37" i="1"/>
  <c r="Y37" i="1"/>
  <c r="BH29" i="1"/>
  <c r="Y29" i="1"/>
  <c r="BH21" i="1"/>
  <c r="Y21" i="1"/>
  <c r="BH5" i="1"/>
  <c r="Y5" i="1"/>
  <c r="AV60" i="1"/>
  <c r="AJ60" i="1"/>
  <c r="BH52" i="1"/>
  <c r="Y52" i="1"/>
  <c r="BH44" i="1"/>
  <c r="Y44" i="1"/>
  <c r="BH36" i="1"/>
  <c r="Y36" i="1"/>
  <c r="AV28" i="1"/>
  <c r="AJ28" i="1"/>
  <c r="BH20" i="1"/>
  <c r="Y20" i="1"/>
  <c r="AW58" i="1"/>
  <c r="AB58" i="10" s="1"/>
  <c r="AK58" i="1"/>
  <c r="I58" i="10" s="1"/>
  <c r="H58" i="12" s="1"/>
  <c r="AD58" i="12" s="1"/>
  <c r="BI50" i="1"/>
  <c r="Z50" i="1"/>
  <c r="BI42" i="1"/>
  <c r="Z42" i="1"/>
  <c r="BI34" i="1"/>
  <c r="Z34" i="1"/>
  <c r="AW26" i="1"/>
  <c r="AB26" i="10" s="1"/>
  <c r="AK26" i="1"/>
  <c r="I26" i="10" s="1"/>
  <c r="H26" i="12" s="1"/>
  <c r="BI18" i="1"/>
  <c r="BS18" i="1" s="1"/>
  <c r="Z18" i="1"/>
  <c r="BJ55" i="1"/>
  <c r="AA55" i="1"/>
  <c r="BJ47" i="1"/>
  <c r="AA47" i="1"/>
  <c r="BJ39" i="1"/>
  <c r="AA39" i="1"/>
  <c r="BJ31" i="1"/>
  <c r="AA31" i="1"/>
  <c r="BJ23" i="1"/>
  <c r="AA23" i="1"/>
  <c r="BJ15" i="1"/>
  <c r="AA15" i="1"/>
  <c r="BJ7" i="1"/>
  <c r="AA7" i="1"/>
  <c r="BK60" i="1"/>
  <c r="AB60" i="1"/>
  <c r="BK52" i="1"/>
  <c r="AB52" i="1"/>
  <c r="BK44" i="1"/>
  <c r="AB44" i="1"/>
  <c r="BK36" i="1"/>
  <c r="AB36" i="1"/>
  <c r="BK28" i="1"/>
  <c r="AB28" i="1"/>
  <c r="BK20" i="1"/>
  <c r="AB20" i="1"/>
  <c r="BK12" i="1"/>
  <c r="AB12" i="1"/>
  <c r="BL4" i="1"/>
  <c r="AC4" i="1"/>
  <c r="BL57" i="1"/>
  <c r="AC57" i="1"/>
  <c r="BL49" i="1"/>
  <c r="BX47" i="1" s="1"/>
  <c r="AC49" i="1"/>
  <c r="BL41" i="1"/>
  <c r="AC41" i="1"/>
  <c r="BL33" i="1"/>
  <c r="AC33" i="1"/>
  <c r="BL25" i="1"/>
  <c r="AC25" i="1"/>
  <c r="BL17" i="1"/>
  <c r="AC17" i="1"/>
  <c r="BL9" i="1"/>
  <c r="AC9" i="1"/>
  <c r="BM62" i="1"/>
  <c r="AD62" i="1"/>
  <c r="BM54" i="1"/>
  <c r="BY47" i="1" s="1"/>
  <c r="AD54" i="1"/>
  <c r="BM46" i="1"/>
  <c r="BS46" i="1" s="1"/>
  <c r="AD46" i="1"/>
  <c r="BM38" i="1"/>
  <c r="AD38" i="1"/>
  <c r="BM30" i="1"/>
  <c r="AD30" i="1"/>
  <c r="BM22" i="1"/>
  <c r="AD22" i="1"/>
  <c r="BM14" i="1"/>
  <c r="AD14" i="1"/>
  <c r="BM6" i="1"/>
  <c r="AD6" i="1"/>
  <c r="BN59" i="1"/>
  <c r="AE59" i="1"/>
  <c r="BN51" i="1"/>
  <c r="AE51" i="1"/>
  <c r="BN43" i="1"/>
  <c r="AE43" i="1"/>
  <c r="BN35" i="1"/>
  <c r="AE35" i="1"/>
  <c r="BN27" i="1"/>
  <c r="BS27" i="1" s="1"/>
  <c r="AE27" i="1"/>
  <c r="BN19" i="1"/>
  <c r="AE19" i="1"/>
  <c r="BN11" i="1"/>
  <c r="AE11" i="1"/>
  <c r="BO64" i="1"/>
  <c r="AF64" i="1"/>
  <c r="BO56" i="1"/>
  <c r="AF56" i="1"/>
  <c r="BO48" i="1"/>
  <c r="AF48" i="1"/>
  <c r="BO40" i="1"/>
  <c r="AF40" i="1"/>
  <c r="BO32" i="1"/>
  <c r="AF32" i="1"/>
  <c r="BO24" i="1"/>
  <c r="AF24" i="1"/>
  <c r="Y62" i="1"/>
  <c r="Y23" i="1"/>
  <c r="Z59" i="1"/>
  <c r="Z20" i="1"/>
  <c r="Z6" i="1"/>
  <c r="AA56" i="1"/>
  <c r="AA42" i="1"/>
  <c r="AB64" i="1"/>
  <c r="AB53" i="1"/>
  <c r="AC61" i="1"/>
  <c r="AC50" i="1"/>
  <c r="AC36" i="1"/>
  <c r="AC11" i="1"/>
  <c r="AD58" i="1"/>
  <c r="AD47" i="1"/>
  <c r="AD33" i="1"/>
  <c r="AD17" i="1"/>
  <c r="AE62" i="1"/>
  <c r="AE46" i="1"/>
  <c r="AE14" i="1"/>
  <c r="AF59" i="1"/>
  <c r="AF43" i="1"/>
  <c r="AF27" i="1"/>
  <c r="AF8" i="1"/>
  <c r="AL63" i="1"/>
  <c r="J63" i="10" s="1"/>
  <c r="I63" i="12" s="1"/>
  <c r="AN15" i="1"/>
  <c r="L15" i="10" s="1"/>
  <c r="K15" i="12" s="1"/>
  <c r="AP9" i="1"/>
  <c r="AF23" i="1"/>
  <c r="Z4" i="1"/>
  <c r="Z41" i="1"/>
  <c r="Z33" i="1"/>
  <c r="Z17" i="1"/>
  <c r="AA46" i="1"/>
  <c r="AA38" i="1"/>
  <c r="AA22" i="1"/>
  <c r="AA14" i="1"/>
  <c r="AB43" i="1"/>
  <c r="AB27" i="1"/>
  <c r="AB11" i="1"/>
  <c r="AC48" i="1"/>
  <c r="AC40" i="1"/>
  <c r="AC32" i="1"/>
  <c r="AC16" i="1"/>
  <c r="AC8" i="1"/>
  <c r="AD53" i="1"/>
  <c r="AD37" i="1"/>
  <c r="AD21" i="1"/>
  <c r="AD13" i="1"/>
  <c r="AD5" i="1"/>
  <c r="AE58" i="1"/>
  <c r="AE34" i="1"/>
  <c r="AE26" i="1"/>
  <c r="AE18" i="1"/>
  <c r="AE10" i="1"/>
  <c r="AF63" i="1"/>
  <c r="AF39" i="1"/>
  <c r="AF31" i="1"/>
  <c r="AF22" i="1"/>
  <c r="BH51" i="1"/>
  <c r="Y35" i="1"/>
  <c r="Y27" i="1"/>
  <c r="Y19" i="1"/>
  <c r="Z40" i="1"/>
  <c r="Z32" i="1"/>
  <c r="Z24" i="1"/>
  <c r="AA53" i="1"/>
  <c r="AA45" i="1"/>
  <c r="AA37" i="1"/>
  <c r="AA13" i="1"/>
  <c r="AB58" i="1"/>
  <c r="AB42" i="1"/>
  <c r="AB10" i="1"/>
  <c r="AC63" i="1"/>
  <c r="AC47" i="1"/>
  <c r="AC39" i="1"/>
  <c r="AC7" i="1"/>
  <c r="AD52" i="1"/>
  <c r="AD36" i="1"/>
  <c r="AD12" i="1"/>
  <c r="AE4" i="1"/>
  <c r="AE57" i="1"/>
  <c r="AE41" i="1"/>
  <c r="AE33" i="1"/>
  <c r="AE17" i="1"/>
  <c r="AF62" i="1"/>
  <c r="AF46" i="1"/>
  <c r="AF38" i="1"/>
  <c r="AF30" i="1"/>
  <c r="AF21" i="1"/>
  <c r="Y4" i="5"/>
  <c r="A57" i="1"/>
  <c r="A4" i="1"/>
  <c r="X66" i="4"/>
  <c r="X65" i="4"/>
  <c r="X64" i="4"/>
  <c r="X63" i="4"/>
  <c r="X62" i="4"/>
  <c r="X61" i="4"/>
  <c r="X60" i="4"/>
  <c r="X59" i="4"/>
  <c r="Y59" i="4" s="1"/>
  <c r="X58" i="4"/>
  <c r="X57" i="4"/>
  <c r="X56" i="4"/>
  <c r="X55" i="4"/>
  <c r="Y55" i="4" s="1"/>
  <c r="X54" i="4"/>
  <c r="X53" i="4"/>
  <c r="X52" i="4"/>
  <c r="Y52" i="4" s="1"/>
  <c r="X51" i="4"/>
  <c r="X50" i="4"/>
  <c r="X49" i="4"/>
  <c r="X48" i="4"/>
  <c r="X47" i="4"/>
  <c r="X46" i="4"/>
  <c r="X45" i="4"/>
  <c r="X44" i="4"/>
  <c r="Y44" i="4" s="1"/>
  <c r="X43" i="4"/>
  <c r="X42" i="4"/>
  <c r="X41" i="4"/>
  <c r="X40" i="4"/>
  <c r="X39" i="4"/>
  <c r="X38" i="4"/>
  <c r="Y38" i="4" s="1"/>
  <c r="A36" i="1" s="1"/>
  <c r="X37" i="4"/>
  <c r="Y37" i="4" s="1"/>
  <c r="X36" i="4"/>
  <c r="X35" i="4"/>
  <c r="X34" i="4"/>
  <c r="X33" i="4"/>
  <c r="X32" i="4"/>
  <c r="X31" i="4"/>
  <c r="X30" i="4"/>
  <c r="X29" i="4"/>
  <c r="Y29" i="4" s="1"/>
  <c r="A28" i="1" s="1"/>
  <c r="X28" i="4"/>
  <c r="X27" i="4"/>
  <c r="X26" i="4"/>
  <c r="X25" i="4"/>
  <c r="X24" i="4"/>
  <c r="X23" i="4"/>
  <c r="X22" i="4"/>
  <c r="Y22" i="4" s="1"/>
  <c r="A21" i="1" s="1"/>
  <c r="Y21" i="4"/>
  <c r="X21" i="4"/>
  <c r="X20" i="4"/>
  <c r="X19" i="4"/>
  <c r="X18" i="4"/>
  <c r="X17" i="4"/>
  <c r="X16" i="4"/>
  <c r="X15" i="4"/>
  <c r="Y15" i="4" s="1"/>
  <c r="A14" i="1" s="1"/>
  <c r="X14" i="4"/>
  <c r="X13" i="4"/>
  <c r="X12" i="4"/>
  <c r="X11" i="4"/>
  <c r="Y11" i="4" s="1"/>
  <c r="A10" i="1" s="1"/>
  <c r="X10" i="4"/>
  <c r="X9" i="4"/>
  <c r="X8" i="4"/>
  <c r="X7" i="4"/>
  <c r="X6" i="4"/>
  <c r="X5" i="4"/>
  <c r="Y65" i="4" s="1"/>
  <c r="A63" i="1" s="1"/>
  <c r="X4" i="4"/>
  <c r="F19" i="2"/>
  <c r="F18" i="2"/>
  <c r="F16" i="2"/>
  <c r="F15" i="2"/>
  <c r="F14" i="2"/>
  <c r="I13" i="2"/>
  <c r="F13" i="2"/>
  <c r="I12" i="2"/>
  <c r="F12" i="2"/>
  <c r="I11" i="2"/>
  <c r="F11" i="2"/>
  <c r="I10" i="2"/>
  <c r="F10" i="2"/>
  <c r="I9" i="2"/>
  <c r="F9" i="2"/>
  <c r="I8" i="2"/>
  <c r="F8" i="2"/>
  <c r="I7" i="2"/>
  <c r="F7" i="2"/>
  <c r="I6" i="2"/>
  <c r="F6" i="2"/>
  <c r="I5" i="2"/>
  <c r="F5" i="2"/>
  <c r="I4" i="2"/>
  <c r="F4" i="2"/>
  <c r="I3" i="2"/>
  <c r="F3" i="2"/>
  <c r="AR22" i="12" l="1"/>
  <c r="AR40" i="12" s="1"/>
  <c r="AS22" i="12"/>
  <c r="AS40" i="12" s="1"/>
  <c r="AK22" i="12"/>
  <c r="AK40" i="12" s="1"/>
  <c r="AJ22" i="12"/>
  <c r="AJ40" i="12" s="1"/>
  <c r="AP22" i="12"/>
  <c r="AP40" i="12" s="1"/>
  <c r="AQ22" i="12"/>
  <c r="AQ40" i="12" s="1"/>
  <c r="AO22" i="12"/>
  <c r="AO40" i="12" s="1"/>
  <c r="AN22" i="12"/>
  <c r="AN40" i="12" s="1"/>
  <c r="AI22" i="12"/>
  <c r="AI40" i="12" s="1"/>
  <c r="AH22" i="12"/>
  <c r="AH40" i="12" s="1"/>
  <c r="AL22" i="12"/>
  <c r="AL40" i="12" s="1"/>
  <c r="BA22" i="12"/>
  <c r="AD22" i="12"/>
  <c r="BA27" i="12"/>
  <c r="AD27" i="12"/>
  <c r="BA38" i="12"/>
  <c r="AD38" i="12"/>
  <c r="BA29" i="12"/>
  <c r="AD29" i="12"/>
  <c r="BA11" i="12"/>
  <c r="AD11" i="12"/>
  <c r="BA15" i="12"/>
  <c r="AD15" i="12"/>
  <c r="BA14" i="12"/>
  <c r="AD14" i="12"/>
  <c r="BA25" i="12"/>
  <c r="AD25" i="12"/>
  <c r="BA57" i="12"/>
  <c r="AD57" i="12"/>
  <c r="BA13" i="12"/>
  <c r="AD13" i="12"/>
  <c r="BA28" i="12"/>
  <c r="AD28" i="12"/>
  <c r="BA52" i="12"/>
  <c r="AD52" i="12"/>
  <c r="BA26" i="12"/>
  <c r="AD26" i="12"/>
  <c r="BA64" i="12"/>
  <c r="AD64" i="12"/>
  <c r="BA45" i="12"/>
  <c r="AD45" i="12"/>
  <c r="BA37" i="12"/>
  <c r="AD37" i="12"/>
  <c r="BA53" i="12"/>
  <c r="AD53" i="12"/>
  <c r="BA49" i="12"/>
  <c r="AD49" i="12"/>
  <c r="BF56" i="12"/>
  <c r="AA56" i="12"/>
  <c r="BC61" i="12"/>
  <c r="X61" i="12"/>
  <c r="BG34" i="12"/>
  <c r="AB34" i="12"/>
  <c r="BG35" i="12"/>
  <c r="AB35" i="12"/>
  <c r="BC22" i="12"/>
  <c r="X22" i="12"/>
  <c r="AX29" i="12"/>
  <c r="U29" i="12"/>
  <c r="AW32" i="12"/>
  <c r="T32" i="12"/>
  <c r="AV35" i="12"/>
  <c r="S35" i="12"/>
  <c r="AV50" i="12"/>
  <c r="S50" i="12"/>
  <c r="AX46" i="12"/>
  <c r="U46" i="12"/>
  <c r="AX36" i="12"/>
  <c r="U36" i="12"/>
  <c r="AW33" i="12"/>
  <c r="T33" i="12"/>
  <c r="AX26" i="12"/>
  <c r="U26" i="12"/>
  <c r="AX16" i="12"/>
  <c r="U16" i="12"/>
  <c r="AV32" i="12"/>
  <c r="S32" i="12"/>
  <c r="AX34" i="12"/>
  <c r="U34" i="12"/>
  <c r="BD64" i="12"/>
  <c r="Y64" i="12"/>
  <c r="BD24" i="12"/>
  <c r="Y24" i="12"/>
  <c r="BF49" i="12"/>
  <c r="AA49" i="12"/>
  <c r="BF25" i="12"/>
  <c r="AA25" i="12"/>
  <c r="BC34" i="12"/>
  <c r="X34" i="12"/>
  <c r="BF50" i="12"/>
  <c r="AA50" i="12"/>
  <c r="BC51" i="12"/>
  <c r="X51" i="12"/>
  <c r="BB54" i="12"/>
  <c r="W54" i="12"/>
  <c r="BG17" i="12"/>
  <c r="AB17" i="12"/>
  <c r="BB11" i="12"/>
  <c r="W11" i="12"/>
  <c r="BB25" i="12"/>
  <c r="W25" i="12"/>
  <c r="BG53" i="12"/>
  <c r="AB53" i="12"/>
  <c r="BD20" i="12"/>
  <c r="Y20" i="12"/>
  <c r="BD60" i="12"/>
  <c r="Y60" i="12"/>
  <c r="BF45" i="12"/>
  <c r="AA45" i="12"/>
  <c r="AX27" i="12"/>
  <c r="U27" i="12"/>
  <c r="AV33" i="12"/>
  <c r="S33" i="12"/>
  <c r="AX37" i="12"/>
  <c r="U37" i="12"/>
  <c r="AW40" i="12"/>
  <c r="T40" i="12"/>
  <c r="AV43" i="12"/>
  <c r="S43" i="12"/>
  <c r="AW17" i="12"/>
  <c r="T17" i="12"/>
  <c r="AX20" i="12"/>
  <c r="U20" i="12"/>
  <c r="AV36" i="12"/>
  <c r="S36" i="12"/>
  <c r="AV12" i="12"/>
  <c r="S12" i="12"/>
  <c r="AX42" i="12"/>
  <c r="U42" i="12"/>
  <c r="AX32" i="12"/>
  <c r="U32" i="12"/>
  <c r="AX50" i="12"/>
  <c r="U50" i="12"/>
  <c r="BF30" i="12"/>
  <c r="AA30" i="12"/>
  <c r="BE64" i="12"/>
  <c r="Z64" i="12"/>
  <c r="AV25" i="12"/>
  <c r="S25" i="12"/>
  <c r="BE59" i="12"/>
  <c r="Z59" i="12"/>
  <c r="BD44" i="12"/>
  <c r="Y44" i="12"/>
  <c r="AX22" i="12"/>
  <c r="U22" i="12"/>
  <c r="BD22" i="12"/>
  <c r="Y22" i="12"/>
  <c r="BB17" i="12"/>
  <c r="W17" i="12"/>
  <c r="AW22" i="12"/>
  <c r="T22" i="12"/>
  <c r="BC49" i="12"/>
  <c r="X49" i="12"/>
  <c r="BC63" i="12"/>
  <c r="X63" i="12"/>
  <c r="AV41" i="12"/>
  <c r="S41" i="12"/>
  <c r="AW48" i="12"/>
  <c r="T48" i="12"/>
  <c r="AX52" i="12"/>
  <c r="U52" i="12"/>
  <c r="AV64" i="12"/>
  <c r="S64" i="12"/>
  <c r="AX58" i="12"/>
  <c r="U58" i="12"/>
  <c r="AX48" i="12"/>
  <c r="U48" i="12"/>
  <c r="BB63" i="12"/>
  <c r="W63" i="12"/>
  <c r="BE20" i="12"/>
  <c r="Z20" i="12"/>
  <c r="BB30" i="12"/>
  <c r="W30" i="12"/>
  <c r="BE29" i="12"/>
  <c r="Z29" i="12"/>
  <c r="BB61" i="12"/>
  <c r="W61" i="12"/>
  <c r="BE28" i="12"/>
  <c r="Z28" i="12"/>
  <c r="BC59" i="12"/>
  <c r="X59" i="12"/>
  <c r="BG28" i="12"/>
  <c r="AB28" i="12"/>
  <c r="BC23" i="12"/>
  <c r="X23" i="12"/>
  <c r="BF54" i="12"/>
  <c r="AA54" i="12"/>
  <c r="BF22" i="12"/>
  <c r="AA22" i="12"/>
  <c r="BE11" i="12"/>
  <c r="Z11" i="12"/>
  <c r="AX43" i="12"/>
  <c r="U43" i="12"/>
  <c r="AW46" i="12"/>
  <c r="T46" i="12"/>
  <c r="AV49" i="12"/>
  <c r="S49" i="12"/>
  <c r="AX53" i="12"/>
  <c r="U53" i="12"/>
  <c r="AV59" i="12"/>
  <c r="S59" i="12"/>
  <c r="AX12" i="12"/>
  <c r="U12" i="12"/>
  <c r="AV20" i="12"/>
  <c r="S20" i="12"/>
  <c r="AW23" i="12"/>
  <c r="T23" i="12"/>
  <c r="AW31" i="12"/>
  <c r="T31" i="12"/>
  <c r="AV42" i="12"/>
  <c r="S42" i="12"/>
  <c r="AV28" i="12"/>
  <c r="S28" i="12"/>
  <c r="AW13" i="12"/>
  <c r="BK11" i="12" s="1"/>
  <c r="T13" i="12"/>
  <c r="AX64" i="12"/>
  <c r="U64" i="12"/>
  <c r="BD55" i="12"/>
  <c r="Y55" i="12"/>
  <c r="BD43" i="12"/>
  <c r="Y43" i="12"/>
  <c r="BD35" i="12"/>
  <c r="Y35" i="12"/>
  <c r="AW54" i="12"/>
  <c r="T54" i="12"/>
  <c r="AW64" i="12"/>
  <c r="T64" i="12"/>
  <c r="AV52" i="12"/>
  <c r="S52" i="12"/>
  <c r="AW55" i="12"/>
  <c r="T55" i="12"/>
  <c r="AW63" i="12"/>
  <c r="T63" i="12"/>
  <c r="AW25" i="12"/>
  <c r="T25" i="12"/>
  <c r="AX38" i="12"/>
  <c r="U38" i="12"/>
  <c r="AW29" i="12"/>
  <c r="T29" i="12"/>
  <c r="AW19" i="12"/>
  <c r="T19" i="12"/>
  <c r="AW37" i="12"/>
  <c r="T37" i="12"/>
  <c r="BG37" i="12"/>
  <c r="AB37" i="12"/>
  <c r="BD15" i="12"/>
  <c r="Y15" i="12"/>
  <c r="BC14" i="12"/>
  <c r="X14" i="12"/>
  <c r="BG61" i="12"/>
  <c r="AB61" i="12"/>
  <c r="AX45" i="12"/>
  <c r="U45" i="12"/>
  <c r="AX60" i="12"/>
  <c r="BL60" i="12" s="1"/>
  <c r="U60" i="12"/>
  <c r="BD23" i="12"/>
  <c r="Y23" i="12"/>
  <c r="BB49" i="12"/>
  <c r="W49" i="12"/>
  <c r="BE57" i="12"/>
  <c r="Z57" i="12"/>
  <c r="BG14" i="12"/>
  <c r="AB14" i="12"/>
  <c r="AX51" i="12"/>
  <c r="BL51" i="12" s="1"/>
  <c r="U51" i="12"/>
  <c r="AX61" i="12"/>
  <c r="U61" i="12"/>
  <c r="BC26" i="12"/>
  <c r="X26" i="12"/>
  <c r="BE60" i="12"/>
  <c r="Z60" i="12"/>
  <c r="BF42" i="12"/>
  <c r="AA42" i="12"/>
  <c r="BC56" i="12"/>
  <c r="X56" i="12"/>
  <c r="BE56" i="12"/>
  <c r="Z56" i="12"/>
  <c r="BB26" i="12"/>
  <c r="W26" i="12"/>
  <c r="BC41" i="12"/>
  <c r="X41" i="12"/>
  <c r="AX59" i="12"/>
  <c r="U59" i="12"/>
  <c r="AW62" i="12"/>
  <c r="T62" i="12"/>
  <c r="AV11" i="12"/>
  <c r="S11" i="12"/>
  <c r="AW15" i="12"/>
  <c r="T15" i="12"/>
  <c r="AV26" i="12"/>
  <c r="S26" i="12"/>
  <c r="AV34" i="12"/>
  <c r="S34" i="12"/>
  <c r="AW41" i="12"/>
  <c r="T41" i="12"/>
  <c r="AX54" i="12"/>
  <c r="U54" i="12"/>
  <c r="AW45" i="12"/>
  <c r="T45" i="12"/>
  <c r="AW35" i="12"/>
  <c r="T35" i="12"/>
  <c r="AW53" i="12"/>
  <c r="T53" i="12"/>
  <c r="AV16" i="12"/>
  <c r="S16" i="12"/>
  <c r="AV40" i="12"/>
  <c r="S40" i="12"/>
  <c r="BB18" i="12"/>
  <c r="W18" i="12"/>
  <c r="BC45" i="12"/>
  <c r="X45" i="12"/>
  <c r="AW38" i="12"/>
  <c r="T38" i="12"/>
  <c r="AV51" i="12"/>
  <c r="S51" i="12"/>
  <c r="BC35" i="12"/>
  <c r="X35" i="12"/>
  <c r="BB62" i="12"/>
  <c r="W62" i="12"/>
  <c r="BC46" i="12"/>
  <c r="X46" i="12"/>
  <c r="BB12" i="12"/>
  <c r="W12" i="12"/>
  <c r="AV57" i="12"/>
  <c r="S57" i="12"/>
  <c r="AX44" i="12"/>
  <c r="U44" i="12"/>
  <c r="BB29" i="12"/>
  <c r="W29" i="12"/>
  <c r="BG55" i="12"/>
  <c r="AB55" i="12"/>
  <c r="BG12" i="12"/>
  <c r="AB12" i="12"/>
  <c r="BE27" i="12"/>
  <c r="Z27" i="12"/>
  <c r="BB24" i="12"/>
  <c r="W24" i="12"/>
  <c r="BB36" i="12"/>
  <c r="W36" i="12"/>
  <c r="BF29" i="12"/>
  <c r="AA29" i="12"/>
  <c r="BC62" i="12"/>
  <c r="X62" i="12"/>
  <c r="BE16" i="12"/>
  <c r="Z16" i="12"/>
  <c r="BF23" i="12"/>
  <c r="AA23" i="12"/>
  <c r="BE41" i="12"/>
  <c r="Z41" i="12"/>
  <c r="AX13" i="12"/>
  <c r="U13" i="12"/>
  <c r="AW16" i="12"/>
  <c r="T16" i="12"/>
  <c r="AV19" i="12"/>
  <c r="S19" i="12"/>
  <c r="AV58" i="12"/>
  <c r="S58" i="12"/>
  <c r="AV44" i="12"/>
  <c r="S44" i="12"/>
  <c r="AW51" i="12"/>
  <c r="T51" i="12"/>
  <c r="AX19" i="12"/>
  <c r="U19" i="12"/>
  <c r="BD56" i="12"/>
  <c r="Y56" i="12"/>
  <c r="BC33" i="12"/>
  <c r="X33" i="12"/>
  <c r="BE40" i="12"/>
  <c r="Z40" i="12"/>
  <c r="AX35" i="12"/>
  <c r="U35" i="12"/>
  <c r="AW49" i="12"/>
  <c r="T49" i="12"/>
  <c r="BC38" i="12"/>
  <c r="X38" i="12"/>
  <c r="AW60" i="12"/>
  <c r="T60" i="12"/>
  <c r="BB51" i="12"/>
  <c r="W51" i="12"/>
  <c r="BF16" i="12"/>
  <c r="AA16" i="12"/>
  <c r="BE44" i="12"/>
  <c r="Z44" i="12"/>
  <c r="BB50" i="12"/>
  <c r="W50" i="12"/>
  <c r="BG54" i="12"/>
  <c r="AB54" i="12"/>
  <c r="BD31" i="12"/>
  <c r="Y31" i="12"/>
  <c r="BC19" i="12"/>
  <c r="X19" i="12"/>
  <c r="BB64" i="12"/>
  <c r="W64" i="12"/>
  <c r="BD19" i="12"/>
  <c r="Y19" i="12"/>
  <c r="AX11" i="12"/>
  <c r="U11" i="12"/>
  <c r="AW14" i="12"/>
  <c r="T14" i="12"/>
  <c r="AV17" i="12"/>
  <c r="S17" i="12"/>
  <c r="AW24" i="12"/>
  <c r="T24" i="12"/>
  <c r="AV27" i="12"/>
  <c r="S27" i="12"/>
  <c r="AV18" i="12"/>
  <c r="S18" i="12"/>
  <c r="AX14" i="12"/>
  <c r="U14" i="12"/>
  <c r="AX62" i="12"/>
  <c r="U62" i="12"/>
  <c r="AW57" i="12"/>
  <c r="T57" i="12"/>
  <c r="AV60" i="12"/>
  <c r="S60" i="12"/>
  <c r="AW61" i="12"/>
  <c r="T61" i="12"/>
  <c r="AV24" i="12"/>
  <c r="S24" i="12"/>
  <c r="AV48" i="12"/>
  <c r="S48" i="12"/>
  <c r="AX18" i="12"/>
  <c r="U18" i="12"/>
  <c r="BJ41" i="12"/>
  <c r="BA39" i="12"/>
  <c r="BK51" i="12"/>
  <c r="AV10" i="12"/>
  <c r="BL52" i="12"/>
  <c r="BL41" i="12"/>
  <c r="BL42" i="12"/>
  <c r="BA58" i="12"/>
  <c r="BC21" i="12"/>
  <c r="BG58" i="12"/>
  <c r="AW56" i="12"/>
  <c r="BJ26" i="12"/>
  <c r="BJ25" i="12"/>
  <c r="AW21" i="12"/>
  <c r="BJ36" i="12"/>
  <c r="BC39" i="12"/>
  <c r="BJ42" i="12"/>
  <c r="BF47" i="12"/>
  <c r="BB10" i="12"/>
  <c r="BF21" i="12"/>
  <c r="AW39" i="12"/>
  <c r="AV56" i="12"/>
  <c r="AW30" i="12"/>
  <c r="BC47" i="12"/>
  <c r="AW47" i="12"/>
  <c r="AX30" i="12"/>
  <c r="BL26" i="12"/>
  <c r="BG47" i="12"/>
  <c r="BA10" i="12"/>
  <c r="BA47" i="12"/>
  <c r="AX21" i="12"/>
  <c r="AX10" i="12"/>
  <c r="BJ52" i="12"/>
  <c r="BK12" i="12"/>
  <c r="BE32" i="12"/>
  <c r="BD58" i="12"/>
  <c r="BL61" i="12"/>
  <c r="G37" i="12"/>
  <c r="G39" i="12"/>
  <c r="G13" i="12"/>
  <c r="G22" i="12"/>
  <c r="G47" i="12"/>
  <c r="G30" i="12"/>
  <c r="G11" i="12"/>
  <c r="G56" i="12"/>
  <c r="G26" i="12"/>
  <c r="G34" i="12"/>
  <c r="G24" i="12"/>
  <c r="G48" i="12"/>
  <c r="G45" i="12"/>
  <c r="G61" i="12"/>
  <c r="G54" i="12"/>
  <c r="G19" i="12"/>
  <c r="G58" i="12"/>
  <c r="G44" i="12"/>
  <c r="G32" i="12"/>
  <c r="G17" i="12"/>
  <c r="G27" i="12"/>
  <c r="G18" i="12"/>
  <c r="G60" i="12"/>
  <c r="G62" i="12"/>
  <c r="G15" i="12"/>
  <c r="G25" i="12"/>
  <c r="G35" i="12"/>
  <c r="G50" i="12"/>
  <c r="G64" i="12"/>
  <c r="G33" i="12"/>
  <c r="G43" i="12"/>
  <c r="G36" i="12"/>
  <c r="G12" i="12"/>
  <c r="G53" i="12"/>
  <c r="G29" i="12"/>
  <c r="G38" i="12"/>
  <c r="G23" i="12"/>
  <c r="G55" i="12"/>
  <c r="G41" i="12"/>
  <c r="G51" i="12"/>
  <c r="G10" i="12"/>
  <c r="G49" i="12"/>
  <c r="G59" i="12"/>
  <c r="G20" i="12"/>
  <c r="G42" i="12"/>
  <c r="G16" i="12"/>
  <c r="G40" i="12"/>
  <c r="G21" i="12"/>
  <c r="G14" i="12"/>
  <c r="G46" i="12"/>
  <c r="G31" i="12"/>
  <c r="G63" i="12"/>
  <c r="G57" i="12"/>
  <c r="G52" i="12"/>
  <c r="AS4" i="1"/>
  <c r="BW47" i="1"/>
  <c r="BS54" i="1"/>
  <c r="BD48" i="1"/>
  <c r="AI48" i="10" s="1"/>
  <c r="BE61" i="1"/>
  <c r="AJ61" i="10" s="1"/>
  <c r="CC47" i="1"/>
  <c r="CB47" i="1"/>
  <c r="BD24" i="1"/>
  <c r="AI24" i="10" s="1"/>
  <c r="BE35" i="1"/>
  <c r="AJ35" i="10" s="1"/>
  <c r="BF26" i="1"/>
  <c r="AK26" i="10" s="1"/>
  <c r="BU47" i="1"/>
  <c r="BT47" i="1"/>
  <c r="BS13" i="1"/>
  <c r="BF10" i="1"/>
  <c r="AK10" i="10" s="1"/>
  <c r="AT28" i="1"/>
  <c r="R28" i="10" s="1"/>
  <c r="D28" i="12" s="1"/>
  <c r="BF58" i="1"/>
  <c r="AK58" i="10" s="1"/>
  <c r="CA47" i="1"/>
  <c r="BZ47" i="1"/>
  <c r="BS37" i="1"/>
  <c r="CD47" i="1"/>
  <c r="BV47" i="1"/>
  <c r="BS29" i="1"/>
  <c r="BS45" i="1"/>
  <c r="BS34" i="1"/>
  <c r="BS23" i="1"/>
  <c r="BS42" i="1"/>
  <c r="BS55" i="1"/>
  <c r="BS10" i="1"/>
  <c r="BB45" i="1"/>
  <c r="AG45" i="10" s="1"/>
  <c r="BS19" i="1"/>
  <c r="BS5" i="1"/>
  <c r="BS9" i="1"/>
  <c r="BS39" i="1"/>
  <c r="BS41" i="1"/>
  <c r="BS35" i="1"/>
  <c r="BS49" i="1"/>
  <c r="BS62" i="1"/>
  <c r="BS17" i="1"/>
  <c r="BS36" i="1"/>
  <c r="BS15" i="1"/>
  <c r="BS33" i="1"/>
  <c r="BS7" i="1"/>
  <c r="BS14" i="1"/>
  <c r="BS30" i="1"/>
  <c r="BS31" i="1"/>
  <c r="BS50" i="1"/>
  <c r="BS6" i="1"/>
  <c r="BS4" i="1"/>
  <c r="BS24" i="1"/>
  <c r="BS38" i="1"/>
  <c r="BS47" i="1"/>
  <c r="BS20" i="1"/>
  <c r="BS52" i="1"/>
  <c r="BS40" i="1"/>
  <c r="BS22" i="1"/>
  <c r="BS64" i="1"/>
  <c r="BS26" i="1"/>
  <c r="BS32" i="1"/>
  <c r="BS61" i="1"/>
  <c r="H42" i="10"/>
  <c r="P42" i="12" s="1"/>
  <c r="L24" i="12"/>
  <c r="AK12" i="1"/>
  <c r="I12" i="10" s="1"/>
  <c r="H12" i="12" s="1"/>
  <c r="AA43" i="10"/>
  <c r="BS60" i="1"/>
  <c r="BS44" i="1"/>
  <c r="BS21" i="1"/>
  <c r="H58" i="10"/>
  <c r="P58" i="12" s="1"/>
  <c r="AC58" i="12" s="1"/>
  <c r="H49" i="10"/>
  <c r="P49" i="12" s="1"/>
  <c r="AC49" i="12" s="1"/>
  <c r="BS59" i="1"/>
  <c r="AA61" i="10"/>
  <c r="AA11" i="10"/>
  <c r="H24" i="10"/>
  <c r="AA40" i="10"/>
  <c r="M48" i="12"/>
  <c r="I51" i="10"/>
  <c r="H30" i="10"/>
  <c r="P30" i="12" s="1"/>
  <c r="H12" i="10"/>
  <c r="P12" i="12" s="1"/>
  <c r="BS48" i="1"/>
  <c r="H40" i="10"/>
  <c r="BS43" i="1"/>
  <c r="AA34" i="10"/>
  <c r="H43" i="10"/>
  <c r="P43" i="12" s="1"/>
  <c r="BS28" i="1"/>
  <c r="AA33" i="10"/>
  <c r="AA25" i="10"/>
  <c r="BS25" i="1"/>
  <c r="H18" i="10"/>
  <c r="P18" i="12" s="1"/>
  <c r="AA59" i="10"/>
  <c r="H28" i="10"/>
  <c r="P28" i="12" s="1"/>
  <c r="H60" i="10"/>
  <c r="P60" i="12" s="1"/>
  <c r="AC60" i="12" s="1"/>
  <c r="H57" i="10"/>
  <c r="P57" i="12" s="1"/>
  <c r="AC57" i="12" s="1"/>
  <c r="AA64" i="10"/>
  <c r="AA51" i="10"/>
  <c r="AZ19" i="1"/>
  <c r="AE19" i="10" s="1"/>
  <c r="AA48" i="10"/>
  <c r="AA22" i="10"/>
  <c r="BS57" i="1"/>
  <c r="BS58" i="1"/>
  <c r="BS16" i="1"/>
  <c r="H31" i="10"/>
  <c r="P31" i="12" s="1"/>
  <c r="H48" i="10"/>
  <c r="BS11" i="1"/>
  <c r="H47" i="10"/>
  <c r="P47" i="12" s="1"/>
  <c r="AC47" i="12" s="1"/>
  <c r="BS51" i="1"/>
  <c r="AA28" i="10"/>
  <c r="AA60" i="10"/>
  <c r="M32" i="12"/>
  <c r="AA32" i="12" s="1"/>
  <c r="BS12" i="1"/>
  <c r="AO43" i="1"/>
  <c r="M43" i="10" s="1"/>
  <c r="L43" i="12" s="1"/>
  <c r="H61" i="10"/>
  <c r="P61" i="12" s="1"/>
  <c r="AC61" i="12" s="1"/>
  <c r="H11" i="10"/>
  <c r="P11" i="12" s="1"/>
  <c r="AA24" i="10"/>
  <c r="BS56" i="1"/>
  <c r="H56" i="10"/>
  <c r="P56" i="12" s="1"/>
  <c r="AC56" i="12" s="1"/>
  <c r="H50" i="10"/>
  <c r="P50" i="12" s="1"/>
  <c r="AC50" i="12" s="1"/>
  <c r="M64" i="12"/>
  <c r="H17" i="10"/>
  <c r="P17" i="12" s="1"/>
  <c r="H25" i="10"/>
  <c r="P25" i="12" s="1"/>
  <c r="H13" i="10"/>
  <c r="P13" i="12" s="1"/>
  <c r="H55" i="10"/>
  <c r="P55" i="12" s="1"/>
  <c r="AC55" i="12" s="1"/>
  <c r="H32" i="10"/>
  <c r="AJ4" i="5"/>
  <c r="A53" i="10"/>
  <c r="A53" i="6" s="1"/>
  <c r="A53" i="7"/>
  <c r="A53" i="1"/>
  <c r="A57" i="10"/>
  <c r="A57" i="6" s="1"/>
  <c r="B57" i="7"/>
  <c r="C57" i="7"/>
  <c r="F57" i="7" s="1"/>
  <c r="A57" i="7"/>
  <c r="Y16" i="4"/>
  <c r="Y23" i="4"/>
  <c r="Y31" i="4"/>
  <c r="Y46" i="4"/>
  <c r="Y54" i="4"/>
  <c r="Y61" i="4"/>
  <c r="A20" i="10"/>
  <c r="A20" i="6" s="1"/>
  <c r="A19" i="7"/>
  <c r="A35" i="10"/>
  <c r="A35" i="6" s="1"/>
  <c r="B35" i="7"/>
  <c r="A35" i="7"/>
  <c r="A50" i="10"/>
  <c r="A50" i="6" s="1"/>
  <c r="A50" i="7"/>
  <c r="Y9" i="4"/>
  <c r="Y40" i="4"/>
  <c r="Y47" i="4"/>
  <c r="Y62" i="4"/>
  <c r="A20" i="1"/>
  <c r="A28" i="10"/>
  <c r="A28" i="6" s="1"/>
  <c r="A27" i="7"/>
  <c r="A42" i="10"/>
  <c r="A42" i="6" s="1"/>
  <c r="A42" i="7"/>
  <c r="A36" i="10"/>
  <c r="A36" i="6" s="1"/>
  <c r="C36" i="7"/>
  <c r="F36" i="7" s="1"/>
  <c r="B36" i="7"/>
  <c r="A36" i="7"/>
  <c r="Y17" i="4"/>
  <c r="Y10" i="4"/>
  <c r="Y18" i="4"/>
  <c r="Y25" i="4"/>
  <c r="Y33" i="4"/>
  <c r="Y48" i="4"/>
  <c r="Y63" i="4"/>
  <c r="A35" i="1"/>
  <c r="B20" i="7"/>
  <c r="A21" i="10"/>
  <c r="A21" i="6" s="1"/>
  <c r="C20" i="7"/>
  <c r="F20" i="7" s="1"/>
  <c r="A20" i="7"/>
  <c r="Y34" i="4"/>
  <c r="Y41" i="4"/>
  <c r="Y49" i="4"/>
  <c r="Y56" i="4"/>
  <c r="A42" i="1"/>
  <c r="A14" i="10"/>
  <c r="A14" i="6" s="1"/>
  <c r="A13" i="7"/>
  <c r="A10" i="10"/>
  <c r="A10" i="6" s="1"/>
  <c r="A9" i="7"/>
  <c r="Y27" i="4"/>
  <c r="Y35" i="4"/>
  <c r="Y42" i="4"/>
  <c r="Y57" i="4"/>
  <c r="A63" i="10"/>
  <c r="A63" i="6" s="1"/>
  <c r="A63" i="7"/>
  <c r="Y13" i="4"/>
  <c r="Y28" i="4"/>
  <c r="Y43" i="4"/>
  <c r="C42" i="7" s="1"/>
  <c r="F42" i="7" s="1"/>
  <c r="Y51" i="4"/>
  <c r="Y58" i="4"/>
  <c r="A50" i="1"/>
  <c r="AD4" i="5"/>
  <c r="V4" i="5"/>
  <c r="X4" i="5" s="1"/>
  <c r="AN46" i="1"/>
  <c r="L46" i="10" s="1"/>
  <c r="K46" i="12" s="1"/>
  <c r="AP38" i="1"/>
  <c r="N38" i="10" s="1"/>
  <c r="M38" i="12" s="1"/>
  <c r="AP37" i="1"/>
  <c r="N37" i="10" s="1"/>
  <c r="M37" i="12" s="1"/>
  <c r="AZ44" i="1"/>
  <c r="AE44" i="10" s="1"/>
  <c r="BB21" i="1"/>
  <c r="AG21" i="10" s="1"/>
  <c r="AZ35" i="1"/>
  <c r="AE35" i="10" s="1"/>
  <c r="AP39" i="1"/>
  <c r="N39" i="10" s="1"/>
  <c r="M39" i="12" s="1"/>
  <c r="AA39" i="12" s="1"/>
  <c r="AQ16" i="1"/>
  <c r="O16" i="10" s="1"/>
  <c r="N16" i="12" s="1"/>
  <c r="AJ34" i="1"/>
  <c r="AV8" i="1"/>
  <c r="AY22" i="1"/>
  <c r="AD22" i="10" s="1"/>
  <c r="AM13" i="1"/>
  <c r="K13" i="10" s="1"/>
  <c r="J13" i="12" s="1"/>
  <c r="AZ20" i="1"/>
  <c r="AE20" i="10" s="1"/>
  <c r="AZ60" i="1"/>
  <c r="AE60" i="10" s="1"/>
  <c r="BA40" i="1"/>
  <c r="AF40" i="10" s="1"/>
  <c r="AQ29" i="1"/>
  <c r="O29" i="10" s="1"/>
  <c r="N29" i="12" s="1"/>
  <c r="AW29" i="1"/>
  <c r="AB29" i="10" s="1"/>
  <c r="BA64" i="1"/>
  <c r="AF64" i="10" s="1"/>
  <c r="AM25" i="1"/>
  <c r="K25" i="10" s="1"/>
  <c r="J25" i="12" s="1"/>
  <c r="AY63" i="1"/>
  <c r="AD63" i="10" s="1"/>
  <c r="AO26" i="1"/>
  <c r="M26" i="10" s="1"/>
  <c r="L26" i="12" s="1"/>
  <c r="AV30" i="1"/>
  <c r="BA57" i="1"/>
  <c r="AF57" i="10" s="1"/>
  <c r="BB64" i="1"/>
  <c r="AG64" i="10" s="1"/>
  <c r="BC58" i="1"/>
  <c r="AH58" i="10" s="1"/>
  <c r="AK30" i="1"/>
  <c r="I30" i="10" s="1"/>
  <c r="H30" i="12" s="1"/>
  <c r="AV31" i="1"/>
  <c r="BB5" i="1"/>
  <c r="BA4" i="1"/>
  <c r="AW52" i="1"/>
  <c r="AB52" i="10" s="1"/>
  <c r="BB29" i="1"/>
  <c r="AG29" i="10" s="1"/>
  <c r="AL41" i="1"/>
  <c r="J41" i="10" s="1"/>
  <c r="I41" i="12" s="1"/>
  <c r="AX36" i="1"/>
  <c r="AC36" i="10" s="1"/>
  <c r="AN30" i="1"/>
  <c r="L30" i="10" s="1"/>
  <c r="K30" i="12" s="1"/>
  <c r="AN21" i="1"/>
  <c r="L21" i="10" s="1"/>
  <c r="K21" i="12" s="1"/>
  <c r="Y21" i="12" s="1"/>
  <c r="AY38" i="1"/>
  <c r="AD38" i="10" s="1"/>
  <c r="AY21" i="1"/>
  <c r="AD21" i="10" s="1"/>
  <c r="AW13" i="1"/>
  <c r="AW39" i="1"/>
  <c r="AB39" i="10" s="1"/>
  <c r="AX4" i="1"/>
  <c r="AV32" i="1"/>
  <c r="AP13" i="1"/>
  <c r="N13" i="10" s="1"/>
  <c r="M13" i="12" s="1"/>
  <c r="AL28" i="1"/>
  <c r="J28" i="10" s="1"/>
  <c r="I28" i="12" s="1"/>
  <c r="AQ51" i="1"/>
  <c r="O51" i="10" s="1"/>
  <c r="N51" i="12" s="1"/>
  <c r="BA41" i="1"/>
  <c r="AF41" i="10" s="1"/>
  <c r="AQ52" i="1"/>
  <c r="O52" i="10" s="1"/>
  <c r="N52" i="12" s="1"/>
  <c r="AZ58" i="1"/>
  <c r="AE58" i="10" s="1"/>
  <c r="AQ20" i="1"/>
  <c r="O20" i="10" s="1"/>
  <c r="N20" i="12" s="1"/>
  <c r="AQ7" i="1"/>
  <c r="AO63" i="1"/>
  <c r="M63" i="10" s="1"/>
  <c r="L63" i="12" s="1"/>
  <c r="AW5" i="1"/>
  <c r="BA8" i="1"/>
  <c r="BB23" i="1"/>
  <c r="AG23" i="10" s="1"/>
  <c r="AO55" i="1"/>
  <c r="M55" i="10" s="1"/>
  <c r="L55" i="12" s="1"/>
  <c r="AX12" i="1"/>
  <c r="AC12" i="10" s="1"/>
  <c r="AP61" i="1"/>
  <c r="N61" i="10" s="1"/>
  <c r="M61" i="12" s="1"/>
  <c r="AX25" i="1"/>
  <c r="AC25" i="10" s="1"/>
  <c r="AN18" i="1"/>
  <c r="L18" i="10" s="1"/>
  <c r="K18" i="12" s="1"/>
  <c r="AL20" i="1"/>
  <c r="J20" i="10" s="1"/>
  <c r="I20" i="12" s="1"/>
  <c r="AQ6" i="1"/>
  <c r="AW27" i="1"/>
  <c r="AB27" i="10" s="1"/>
  <c r="AQ50" i="1"/>
  <c r="O50" i="10" s="1"/>
  <c r="N50" i="12" s="1"/>
  <c r="BA24" i="1"/>
  <c r="AF24" i="10" s="1"/>
  <c r="AM7" i="1"/>
  <c r="AP55" i="1"/>
  <c r="N55" i="10" s="1"/>
  <c r="M55" i="12" s="1"/>
  <c r="AY61" i="1"/>
  <c r="AD61" i="10" s="1"/>
  <c r="AW15" i="1"/>
  <c r="AB15" i="10" s="1"/>
  <c r="AP24" i="1"/>
  <c r="N24" i="10" s="1"/>
  <c r="M24" i="12" s="1"/>
  <c r="AQ25" i="1"/>
  <c r="O25" i="10" s="1"/>
  <c r="N25" i="12" s="1"/>
  <c r="AQ42" i="1"/>
  <c r="O42" i="10" s="1"/>
  <c r="N42" i="12" s="1"/>
  <c r="BC34" i="1"/>
  <c r="AH34" i="10" s="1"/>
  <c r="AL16" i="1"/>
  <c r="J16" i="10" s="1"/>
  <c r="I16" i="12" s="1"/>
  <c r="AX64" i="1"/>
  <c r="AC64" i="10" s="1"/>
  <c r="AV7" i="1"/>
  <c r="AY8" i="1"/>
  <c r="AO42" i="1"/>
  <c r="M42" i="10" s="1"/>
  <c r="L42" i="12" s="1"/>
  <c r="AV49" i="1"/>
  <c r="BA16" i="1"/>
  <c r="AF16" i="10" s="1"/>
  <c r="AW47" i="1"/>
  <c r="AB47" i="10" s="1"/>
  <c r="BA59" i="1"/>
  <c r="AF59" i="10" s="1"/>
  <c r="AQ15" i="1"/>
  <c r="O15" i="10" s="1"/>
  <c r="N15" i="12" s="1"/>
  <c r="AW51" i="1"/>
  <c r="AB51" i="10" s="1"/>
  <c r="AV18" i="1"/>
  <c r="BA27" i="1"/>
  <c r="AF27" i="10" s="1"/>
  <c r="AM37" i="1"/>
  <c r="K37" i="10" s="1"/>
  <c r="J37" i="12" s="1"/>
  <c r="BC35" i="1"/>
  <c r="AH35" i="10" s="1"/>
  <c r="AX10" i="1"/>
  <c r="AC10" i="10" s="1"/>
  <c r="AK19" i="1"/>
  <c r="I19" i="10" s="1"/>
  <c r="H19" i="12" s="1"/>
  <c r="AJ10" i="1"/>
  <c r="AV10" i="1"/>
  <c r="AW28" i="1"/>
  <c r="AB28" i="10" s="1"/>
  <c r="AX26" i="1"/>
  <c r="AC26" i="10" s="1"/>
  <c r="AX11" i="1"/>
  <c r="AC11" i="10" s="1"/>
  <c r="BA56" i="1"/>
  <c r="AF56" i="10" s="1"/>
  <c r="AY45" i="1"/>
  <c r="AD45" i="10" s="1"/>
  <c r="AO35" i="1"/>
  <c r="M35" i="10" s="1"/>
  <c r="L35" i="12" s="1"/>
  <c r="AV55" i="1"/>
  <c r="AW53" i="1"/>
  <c r="AB53" i="10" s="1"/>
  <c r="AO39" i="1"/>
  <c r="M39" i="10" s="1"/>
  <c r="L39" i="12" s="1"/>
  <c r="Z39" i="12" s="1"/>
  <c r="AL52" i="1"/>
  <c r="J52" i="10" s="1"/>
  <c r="I52" i="12" s="1"/>
  <c r="AJ4" i="1"/>
  <c r="AK44" i="1"/>
  <c r="I44" i="10" s="1"/>
  <c r="H44" i="12" s="1"/>
  <c r="AN5" i="1"/>
  <c r="AY33" i="1"/>
  <c r="AD33" i="10" s="1"/>
  <c r="AK55" i="1"/>
  <c r="I55" i="10" s="1"/>
  <c r="H55" i="12" s="1"/>
  <c r="AL9" i="1"/>
  <c r="AO25" i="1"/>
  <c r="M25" i="10" s="1"/>
  <c r="L25" i="12" s="1"/>
  <c r="AZ43" i="1"/>
  <c r="AE43" i="10" s="1"/>
  <c r="BA32" i="1"/>
  <c r="AF32" i="10" s="1"/>
  <c r="AJ33" i="1"/>
  <c r="AN42" i="1"/>
  <c r="L42" i="10" s="1"/>
  <c r="K42" i="12" s="1"/>
  <c r="AZ42" i="1"/>
  <c r="AE42" i="10" s="1"/>
  <c r="AM5" i="1"/>
  <c r="AN45" i="1"/>
  <c r="L45" i="10" s="1"/>
  <c r="K45" i="12" s="1"/>
  <c r="AW14" i="1"/>
  <c r="AB14" i="10" s="1"/>
  <c r="AY47" i="1"/>
  <c r="AD47" i="10" s="1"/>
  <c r="AP6" i="1"/>
  <c r="BB6" i="1"/>
  <c r="BA10" i="1"/>
  <c r="AF10" i="10" s="1"/>
  <c r="AO10" i="1"/>
  <c r="M10" i="10" s="1"/>
  <c r="L10" i="12" s="1"/>
  <c r="Z10" i="12" s="1"/>
  <c r="AX8" i="1"/>
  <c r="AL8" i="1"/>
  <c r="AP53" i="1"/>
  <c r="N53" i="10" s="1"/>
  <c r="M53" i="12" s="1"/>
  <c r="BB53" i="1"/>
  <c r="AG53" i="10" s="1"/>
  <c r="AN62" i="1"/>
  <c r="L62" i="10" s="1"/>
  <c r="K62" i="12" s="1"/>
  <c r="AZ62" i="1"/>
  <c r="AE62" i="10" s="1"/>
  <c r="AY41" i="1"/>
  <c r="AD41" i="10" s="1"/>
  <c r="BC61" i="1"/>
  <c r="AH61" i="10" s="1"/>
  <c r="AV17" i="1"/>
  <c r="AZ34" i="1"/>
  <c r="AE34" i="10" s="1"/>
  <c r="AN34" i="1"/>
  <c r="L34" i="10" s="1"/>
  <c r="K34" i="12" s="1"/>
  <c r="AY57" i="1"/>
  <c r="AD57" i="10" s="1"/>
  <c r="AM57" i="1"/>
  <c r="K57" i="10" s="1"/>
  <c r="J57" i="12" s="1"/>
  <c r="AZ54" i="1"/>
  <c r="AE54" i="10" s="1"/>
  <c r="AN54" i="1"/>
  <c r="L54" i="10" s="1"/>
  <c r="K54" i="12" s="1"/>
  <c r="AJ9" i="1"/>
  <c r="AV9" i="1"/>
  <c r="AJ54" i="1"/>
  <c r="AV54" i="1"/>
  <c r="AW43" i="1"/>
  <c r="AB43" i="10" s="1"/>
  <c r="AK43" i="1"/>
  <c r="I43" i="10" s="1"/>
  <c r="H43" i="12" s="1"/>
  <c r="AJ41" i="1"/>
  <c r="AV41" i="1"/>
  <c r="AK7" i="1"/>
  <c r="AW7" i="1"/>
  <c r="AO19" i="1"/>
  <c r="M19" i="10" s="1"/>
  <c r="L19" i="12" s="1"/>
  <c r="AY6" i="1"/>
  <c r="AV6" i="1"/>
  <c r="AM24" i="1"/>
  <c r="K24" i="10" s="1"/>
  <c r="J24" i="12" s="1"/>
  <c r="AM4" i="1"/>
  <c r="AY4" i="1"/>
  <c r="AL48" i="1"/>
  <c r="J48" i="10" s="1"/>
  <c r="I48" i="12" s="1"/>
  <c r="AX48" i="1"/>
  <c r="AC48" i="10" s="1"/>
  <c r="BC53" i="1"/>
  <c r="AH53" i="10" s="1"/>
  <c r="AO9" i="1"/>
  <c r="AY46" i="1"/>
  <c r="AD46" i="10" s="1"/>
  <c r="BB22" i="1"/>
  <c r="AG22" i="10" s="1"/>
  <c r="AP40" i="1"/>
  <c r="N40" i="10" s="1"/>
  <c r="BC17" i="1"/>
  <c r="AH17" i="10" s="1"/>
  <c r="AV56" i="1"/>
  <c r="BB56" i="1"/>
  <c r="AG56" i="10" s="1"/>
  <c r="AL27" i="1"/>
  <c r="J27" i="10" s="1"/>
  <c r="I27" i="12" s="1"/>
  <c r="BA51" i="1"/>
  <c r="AF51" i="10" s="1"/>
  <c r="AO51" i="1"/>
  <c r="M51" i="10" s="1"/>
  <c r="L51" i="12" s="1"/>
  <c r="AY17" i="1"/>
  <c r="AD17" i="10" s="1"/>
  <c r="AM17" i="1"/>
  <c r="K17" i="10" s="1"/>
  <c r="J17" i="12" s="1"/>
  <c r="AW23" i="1"/>
  <c r="AB23" i="10" s="1"/>
  <c r="AK23" i="1"/>
  <c r="I23" i="10" s="1"/>
  <c r="H23" i="12" s="1"/>
  <c r="AX40" i="1"/>
  <c r="AC40" i="10" s="1"/>
  <c r="AL40" i="1"/>
  <c r="J40" i="10" s="1"/>
  <c r="I40" i="12" s="1"/>
  <c r="AZ14" i="1"/>
  <c r="AE14" i="10" s="1"/>
  <c r="AN14" i="1"/>
  <c r="L14" i="10" s="1"/>
  <c r="K14" i="12" s="1"/>
  <c r="AV46" i="1"/>
  <c r="AJ46" i="1"/>
  <c r="BC45" i="1"/>
  <c r="AH45" i="10" s="1"/>
  <c r="AQ45" i="1"/>
  <c r="O45" i="10" s="1"/>
  <c r="N45" i="12" s="1"/>
  <c r="AW63" i="1"/>
  <c r="AB63" i="10" s="1"/>
  <c r="AK63" i="1"/>
  <c r="I63" i="10" s="1"/>
  <c r="H63" i="12" s="1"/>
  <c r="AV42" i="1"/>
  <c r="BB54" i="1"/>
  <c r="AG54" i="10" s="1"/>
  <c r="AM48" i="1"/>
  <c r="K48" i="10" s="1"/>
  <c r="J48" i="12" s="1"/>
  <c r="AK31" i="1"/>
  <c r="I31" i="10" s="1"/>
  <c r="H31" i="12" s="1"/>
  <c r="AJ22" i="1"/>
  <c r="AV47" i="1"/>
  <c r="BC5" i="1"/>
  <c r="AQ5" i="1"/>
  <c r="AV50" i="1"/>
  <c r="AY62" i="1"/>
  <c r="AD62" i="10" s="1"/>
  <c r="AX24" i="1"/>
  <c r="AC24" i="10" s="1"/>
  <c r="AK54" i="1"/>
  <c r="I54" i="10" s="1"/>
  <c r="H54" i="12" s="1"/>
  <c r="AY23" i="1"/>
  <c r="AD23" i="10" s="1"/>
  <c r="AN10" i="1"/>
  <c r="L10" i="10" s="1"/>
  <c r="K10" i="12" s="1"/>
  <c r="Y10" i="12" s="1"/>
  <c r="BC13" i="1"/>
  <c r="AH13" i="10" s="1"/>
  <c r="AQ13" i="1"/>
  <c r="O13" i="10" s="1"/>
  <c r="N13" i="12" s="1"/>
  <c r="BB7" i="1"/>
  <c r="AP7" i="1"/>
  <c r="BB8" i="1"/>
  <c r="AP8" i="1"/>
  <c r="AV26" i="1"/>
  <c r="AJ26" i="1"/>
  <c r="AX60" i="1"/>
  <c r="AC60" i="10" s="1"/>
  <c r="AL60" i="1"/>
  <c r="J60" i="10" s="1"/>
  <c r="I60" i="12" s="1"/>
  <c r="AK24" i="1"/>
  <c r="I24" i="10" s="1"/>
  <c r="H24" i="12" s="1"/>
  <c r="AW24" i="1"/>
  <c r="AB24" i="10" s="1"/>
  <c r="AN16" i="1"/>
  <c r="L16" i="10" s="1"/>
  <c r="K16" i="12" s="1"/>
  <c r="AZ16" i="1"/>
  <c r="AE16" i="10" s="1"/>
  <c r="BC23" i="1"/>
  <c r="AH23" i="10" s="1"/>
  <c r="AQ23" i="1"/>
  <c r="O23" i="10" s="1"/>
  <c r="N23" i="12" s="1"/>
  <c r="AK6" i="1"/>
  <c r="AW6" i="1"/>
  <c r="AP35" i="1"/>
  <c r="N35" i="10" s="1"/>
  <c r="M35" i="12" s="1"/>
  <c r="BB35" i="1"/>
  <c r="AG35" i="10" s="1"/>
  <c r="AZ9" i="1"/>
  <c r="AN9" i="1"/>
  <c r="AY44" i="1"/>
  <c r="AD44" i="10" s="1"/>
  <c r="AM44" i="1"/>
  <c r="K44" i="10" s="1"/>
  <c r="J44" i="12" s="1"/>
  <c r="AW34" i="1"/>
  <c r="AB34" i="10" s="1"/>
  <c r="AK34" i="1"/>
  <c r="I34" i="10" s="1"/>
  <c r="H34" i="12" s="1"/>
  <c r="AM55" i="1"/>
  <c r="K55" i="10" s="1"/>
  <c r="J55" i="12" s="1"/>
  <c r="AY55" i="1"/>
  <c r="AD55" i="10" s="1"/>
  <c r="AK60" i="1"/>
  <c r="I60" i="10" s="1"/>
  <c r="H60" i="12" s="1"/>
  <c r="AW60" i="1"/>
  <c r="AB60" i="10" s="1"/>
  <c r="BB4" i="1"/>
  <c r="AP4" i="1"/>
  <c r="AZ32" i="1"/>
  <c r="AE32" i="10" s="1"/>
  <c r="AN32" i="1"/>
  <c r="L32" i="10" s="1"/>
  <c r="K32" i="12" s="1"/>
  <c r="Y32" i="12" s="1"/>
  <c r="AJ64" i="1"/>
  <c r="AJ38" i="1"/>
  <c r="AV38" i="1"/>
  <c r="AL33" i="1"/>
  <c r="J33" i="10" s="1"/>
  <c r="I33" i="12" s="1"/>
  <c r="AX33" i="1"/>
  <c r="AC33" i="10" s="1"/>
  <c r="AQ31" i="1"/>
  <c r="O31" i="10" s="1"/>
  <c r="N31" i="12" s="1"/>
  <c r="BC31" i="1"/>
  <c r="AH31" i="10" s="1"/>
  <c r="AK59" i="1"/>
  <c r="AW59" i="1"/>
  <c r="AB59" i="10" s="1"/>
  <c r="BB43" i="1"/>
  <c r="AG43" i="10" s="1"/>
  <c r="AP43" i="1"/>
  <c r="N43" i="10" s="1"/>
  <c r="M43" i="12" s="1"/>
  <c r="AN17" i="1"/>
  <c r="L17" i="10" s="1"/>
  <c r="K17" i="12" s="1"/>
  <c r="AZ17" i="1"/>
  <c r="AE17" i="10" s="1"/>
  <c r="AY20" i="1"/>
  <c r="AD20" i="10" s="1"/>
  <c r="AM20" i="1"/>
  <c r="K20" i="10" s="1"/>
  <c r="J20" i="12" s="1"/>
  <c r="AX55" i="1"/>
  <c r="AC55" i="10" s="1"/>
  <c r="AL55" i="1"/>
  <c r="J55" i="10" s="1"/>
  <c r="I55" i="12" s="1"/>
  <c r="AV29" i="1"/>
  <c r="AJ29" i="1"/>
  <c r="AQ10" i="1"/>
  <c r="O10" i="10" s="1"/>
  <c r="N10" i="12" s="1"/>
  <c r="AB10" i="12" s="1"/>
  <c r="BC10" i="1"/>
  <c r="AH10" i="10" s="1"/>
  <c r="AL32" i="1"/>
  <c r="J32" i="10" s="1"/>
  <c r="I32" i="12" s="1"/>
  <c r="W32" i="12" s="1"/>
  <c r="AX32" i="1"/>
  <c r="AC32" i="10" s="1"/>
  <c r="AX59" i="1"/>
  <c r="AC59" i="10" s="1"/>
  <c r="AL59" i="1"/>
  <c r="J59" i="10" s="1"/>
  <c r="I59" i="12" s="1"/>
  <c r="AJ19" i="1"/>
  <c r="AV19" i="1"/>
  <c r="AW17" i="1"/>
  <c r="AB17" i="10" s="1"/>
  <c r="AK17" i="1"/>
  <c r="I17" i="10" s="1"/>
  <c r="H17" i="12" s="1"/>
  <c r="BB31" i="1"/>
  <c r="AG31" i="10" s="1"/>
  <c r="AP31" i="1"/>
  <c r="N31" i="10" s="1"/>
  <c r="M31" i="12" s="1"/>
  <c r="BB28" i="1"/>
  <c r="AG28" i="10" s="1"/>
  <c r="AP28" i="1"/>
  <c r="N28" i="10" s="1"/>
  <c r="M28" i="12" s="1"/>
  <c r="BA52" i="1"/>
  <c r="AF52" i="10" s="1"/>
  <c r="AO52" i="1"/>
  <c r="M52" i="10" s="1"/>
  <c r="L52" i="12" s="1"/>
  <c r="AY11" i="1"/>
  <c r="AD11" i="10" s="1"/>
  <c r="AM11" i="1"/>
  <c r="K11" i="10" s="1"/>
  <c r="J11" i="12" s="1"/>
  <c r="AJ23" i="1"/>
  <c r="AV23" i="1"/>
  <c r="BA22" i="1"/>
  <c r="AF22" i="10" s="1"/>
  <c r="AO22" i="1"/>
  <c r="M22" i="10" s="1"/>
  <c r="L22" i="12" s="1"/>
  <c r="AZ57" i="1"/>
  <c r="AE57" i="10" s="1"/>
  <c r="AN57" i="1"/>
  <c r="L57" i="10" s="1"/>
  <c r="K57" i="12" s="1"/>
  <c r="AY60" i="1"/>
  <c r="AD60" i="10" s="1"/>
  <c r="AM60" i="1"/>
  <c r="K60" i="10" s="1"/>
  <c r="J60" i="12" s="1"/>
  <c r="AW50" i="1"/>
  <c r="AB50" i="10" s="1"/>
  <c r="AK50" i="1"/>
  <c r="I50" i="10" s="1"/>
  <c r="H50" i="12" s="1"/>
  <c r="AL57" i="1"/>
  <c r="J57" i="10" s="1"/>
  <c r="I57" i="12" s="1"/>
  <c r="AX57" i="1"/>
  <c r="AC57" i="10" s="1"/>
  <c r="BB17" i="1"/>
  <c r="AG17" i="10" s="1"/>
  <c r="AP17" i="1"/>
  <c r="N17" i="10" s="1"/>
  <c r="M17" i="12" s="1"/>
  <c r="AZ7" i="1"/>
  <c r="AN7" i="1"/>
  <c r="AX37" i="1"/>
  <c r="AC37" i="10" s="1"/>
  <c r="AL37" i="1"/>
  <c r="J37" i="10" s="1"/>
  <c r="I37" i="12" s="1"/>
  <c r="AV35" i="1"/>
  <c r="AJ35" i="1"/>
  <c r="AP10" i="1"/>
  <c r="N10" i="10" s="1"/>
  <c r="M10" i="12" s="1"/>
  <c r="AA10" i="12" s="1"/>
  <c r="BB10" i="1"/>
  <c r="AG10" i="10" s="1"/>
  <c r="BA37" i="1"/>
  <c r="AF37" i="10" s="1"/>
  <c r="AO37" i="1"/>
  <c r="M37" i="10" s="1"/>
  <c r="L37" i="12" s="1"/>
  <c r="AY27" i="1"/>
  <c r="AD27" i="10" s="1"/>
  <c r="AM27" i="1"/>
  <c r="K27" i="10" s="1"/>
  <c r="J27" i="12" s="1"/>
  <c r="AW41" i="1"/>
  <c r="AB41" i="10" s="1"/>
  <c r="AK41" i="1"/>
  <c r="I41" i="10" s="1"/>
  <c r="H41" i="12" s="1"/>
  <c r="AQ8" i="1"/>
  <c r="BC8" i="1"/>
  <c r="AO33" i="1"/>
  <c r="M33" i="10" s="1"/>
  <c r="L33" i="12" s="1"/>
  <c r="BA33" i="1"/>
  <c r="AF33" i="10" s="1"/>
  <c r="AM64" i="1"/>
  <c r="K64" i="10" s="1"/>
  <c r="J64" i="12" s="1"/>
  <c r="AY64" i="1"/>
  <c r="AD64" i="10" s="1"/>
  <c r="AJ62" i="1"/>
  <c r="AV62" i="1"/>
  <c r="AN52" i="1"/>
  <c r="L52" i="10" s="1"/>
  <c r="K52" i="12" s="1"/>
  <c r="AZ52" i="1"/>
  <c r="AE52" i="10" s="1"/>
  <c r="AV14" i="1"/>
  <c r="AJ14" i="1"/>
  <c r="AQ18" i="1"/>
  <c r="O18" i="10" s="1"/>
  <c r="N18" i="12" s="1"/>
  <c r="BC18" i="1"/>
  <c r="AH18" i="10" s="1"/>
  <c r="BA18" i="1"/>
  <c r="AF18" i="10" s="1"/>
  <c r="AO18" i="1"/>
  <c r="M18" i="10" s="1"/>
  <c r="L18" i="12" s="1"/>
  <c r="AN51" i="1"/>
  <c r="L51" i="10" s="1"/>
  <c r="K51" i="12" s="1"/>
  <c r="AZ51" i="1"/>
  <c r="AE51" i="10" s="1"/>
  <c r="AK21" i="1"/>
  <c r="I21" i="10" s="1"/>
  <c r="H21" i="12" s="1"/>
  <c r="AD21" i="12" s="1"/>
  <c r="AW21" i="1"/>
  <c r="AB21" i="10" s="1"/>
  <c r="BC33" i="1"/>
  <c r="AH33" i="10" s="1"/>
  <c r="AQ33" i="1"/>
  <c r="O33" i="10" s="1"/>
  <c r="N33" i="12" s="1"/>
  <c r="BC4" i="1"/>
  <c r="AQ4" i="1"/>
  <c r="AP36" i="1"/>
  <c r="N36" i="10" s="1"/>
  <c r="M36" i="12" s="1"/>
  <c r="BB36" i="1"/>
  <c r="AG36" i="10" s="1"/>
  <c r="BA7" i="1"/>
  <c r="AO7" i="1"/>
  <c r="AV45" i="1"/>
  <c r="AJ45" i="1"/>
  <c r="AW62" i="1"/>
  <c r="AB62" i="10" s="1"/>
  <c r="AK62" i="1"/>
  <c r="I62" i="10" s="1"/>
  <c r="H62" i="12" s="1"/>
  <c r="AN29" i="1"/>
  <c r="L29" i="10" s="1"/>
  <c r="K29" i="12" s="1"/>
  <c r="AZ29" i="1"/>
  <c r="AE29" i="10" s="1"/>
  <c r="BB57" i="1"/>
  <c r="AG57" i="10" s="1"/>
  <c r="AP57" i="1"/>
  <c r="N57" i="10" s="1"/>
  <c r="M57" i="12" s="1"/>
  <c r="AZ11" i="1"/>
  <c r="AE11" i="10" s="1"/>
  <c r="AN11" i="1"/>
  <c r="L11" i="10" s="1"/>
  <c r="K11" i="12" s="1"/>
  <c r="AQ64" i="1"/>
  <c r="O64" i="10" s="1"/>
  <c r="N64" i="12" s="1"/>
  <c r="BC64" i="1"/>
  <c r="AH64" i="10" s="1"/>
  <c r="AO6" i="1"/>
  <c r="BA6" i="1"/>
  <c r="BA38" i="1"/>
  <c r="AF38" i="10" s="1"/>
  <c r="AO38" i="1"/>
  <c r="M38" i="10" s="1"/>
  <c r="L38" i="12" s="1"/>
  <c r="AY12" i="1"/>
  <c r="AD12" i="10" s="1"/>
  <c r="AM12" i="1"/>
  <c r="K12" i="10" s="1"/>
  <c r="J12" i="12" s="1"/>
  <c r="AV21" i="1"/>
  <c r="AJ21" i="1"/>
  <c r="BC30" i="1"/>
  <c r="AH30" i="10" s="1"/>
  <c r="AQ30" i="1"/>
  <c r="O30" i="10" s="1"/>
  <c r="N30" i="12" s="1"/>
  <c r="AW32" i="1"/>
  <c r="AB32" i="10" s="1"/>
  <c r="AK32" i="1"/>
  <c r="I32" i="10" s="1"/>
  <c r="H32" i="12" s="1"/>
  <c r="AD32" i="12" s="1"/>
  <c r="BB58" i="1"/>
  <c r="AG58" i="10" s="1"/>
  <c r="AP58" i="1"/>
  <c r="N58" i="10" s="1"/>
  <c r="M58" i="12" s="1"/>
  <c r="AA58" i="12" s="1"/>
  <c r="AX38" i="1"/>
  <c r="AC38" i="10" s="1"/>
  <c r="AL38" i="1"/>
  <c r="J38" i="10" s="1"/>
  <c r="I38" i="12" s="1"/>
  <c r="AP14" i="1"/>
  <c r="N14" i="10" s="1"/>
  <c r="M14" i="12" s="1"/>
  <c r="BB14" i="1"/>
  <c r="AG14" i="10" s="1"/>
  <c r="AK20" i="1"/>
  <c r="I20" i="10" s="1"/>
  <c r="H20" i="12" s="1"/>
  <c r="AW20" i="1"/>
  <c r="AB20" i="10" s="1"/>
  <c r="AQ49" i="1"/>
  <c r="O49" i="10" s="1"/>
  <c r="N49" i="12" s="1"/>
  <c r="BC49" i="1"/>
  <c r="AH49" i="10" s="1"/>
  <c r="AP52" i="1"/>
  <c r="N52" i="10" s="1"/>
  <c r="M52" i="12" s="1"/>
  <c r="BB52" i="1"/>
  <c r="AG52" i="10" s="1"/>
  <c r="AL34" i="1"/>
  <c r="J34" i="10" s="1"/>
  <c r="I34" i="12" s="1"/>
  <c r="AX34" i="1"/>
  <c r="AC34" i="10" s="1"/>
  <c r="BA12" i="1"/>
  <c r="AF12" i="10" s="1"/>
  <c r="AO12" i="1"/>
  <c r="M12" i="10" s="1"/>
  <c r="L12" i="12" s="1"/>
  <c r="AW40" i="1"/>
  <c r="AB40" i="10" s="1"/>
  <c r="AK40" i="1"/>
  <c r="I40" i="10" s="1"/>
  <c r="H40" i="12" s="1"/>
  <c r="AZ40" i="1"/>
  <c r="AE40" i="10" s="1"/>
  <c r="AN40" i="1"/>
  <c r="L40" i="10" s="1"/>
  <c r="K40" i="12" s="1"/>
  <c r="AX46" i="1"/>
  <c r="AC46" i="10" s="1"/>
  <c r="AL46" i="1"/>
  <c r="J46" i="10" s="1"/>
  <c r="I46" i="12" s="1"/>
  <c r="AN50" i="1"/>
  <c r="L50" i="10" s="1"/>
  <c r="K50" i="12" s="1"/>
  <c r="AZ50" i="1"/>
  <c r="AE50" i="10" s="1"/>
  <c r="AP11" i="1"/>
  <c r="N11" i="10" s="1"/>
  <c r="M11" i="12" s="1"/>
  <c r="BB11" i="1"/>
  <c r="AG11" i="10" s="1"/>
  <c r="AO14" i="1"/>
  <c r="M14" i="10" s="1"/>
  <c r="L14" i="12" s="1"/>
  <c r="BA14" i="1"/>
  <c r="AF14" i="10" s="1"/>
  <c r="AZ49" i="1"/>
  <c r="AE49" i="10" s="1"/>
  <c r="AN49" i="1"/>
  <c r="L49" i="10" s="1"/>
  <c r="K49" i="12" s="1"/>
  <c r="AY52" i="1"/>
  <c r="AD52" i="10" s="1"/>
  <c r="AM52" i="1"/>
  <c r="K52" i="10" s="1"/>
  <c r="J52" i="12" s="1"/>
  <c r="AW42" i="1"/>
  <c r="AB42" i="10" s="1"/>
  <c r="AK42" i="1"/>
  <c r="I42" i="10" s="1"/>
  <c r="H42" i="12" s="1"/>
  <c r="AV52" i="1"/>
  <c r="AJ52" i="1"/>
  <c r="AL58" i="1"/>
  <c r="J58" i="10" s="1"/>
  <c r="I58" i="12" s="1"/>
  <c r="W58" i="12" s="1"/>
  <c r="AX58" i="1"/>
  <c r="BB15" i="1"/>
  <c r="AG15" i="10" s="1"/>
  <c r="AP15" i="1"/>
  <c r="N15" i="10" s="1"/>
  <c r="M15" i="12" s="1"/>
  <c r="AQ11" i="1"/>
  <c r="O11" i="10" s="1"/>
  <c r="N11" i="12" s="1"/>
  <c r="BC11" i="1"/>
  <c r="AH11" i="10" s="1"/>
  <c r="AM32" i="1"/>
  <c r="K32" i="10" s="1"/>
  <c r="J32" i="12" s="1"/>
  <c r="X32" i="12" s="1"/>
  <c r="AY32" i="1"/>
  <c r="AD32" i="10" s="1"/>
  <c r="BC46" i="1"/>
  <c r="AH46" i="10" s="1"/>
  <c r="AQ46" i="1"/>
  <c r="O46" i="10" s="1"/>
  <c r="N46" i="12" s="1"/>
  <c r="AY58" i="1"/>
  <c r="AD58" i="10" s="1"/>
  <c r="AM58" i="1"/>
  <c r="K58" i="10" s="1"/>
  <c r="J58" i="12" s="1"/>
  <c r="X58" i="12" s="1"/>
  <c r="BC39" i="1"/>
  <c r="AH39" i="10" s="1"/>
  <c r="AQ39" i="1"/>
  <c r="O39" i="10" s="1"/>
  <c r="AZ48" i="1"/>
  <c r="AE48" i="10" s="1"/>
  <c r="AN48" i="1"/>
  <c r="L48" i="10" s="1"/>
  <c r="K48" i="12" s="1"/>
  <c r="AN61" i="1"/>
  <c r="L61" i="10" s="1"/>
  <c r="K61" i="12" s="1"/>
  <c r="AZ61" i="1"/>
  <c r="AE61" i="10" s="1"/>
  <c r="AZ13" i="1"/>
  <c r="AE13" i="10" s="1"/>
  <c r="AN13" i="1"/>
  <c r="L13" i="10" s="1"/>
  <c r="K13" i="12" s="1"/>
  <c r="AL43" i="1"/>
  <c r="J43" i="10" s="1"/>
  <c r="I43" i="12" s="1"/>
  <c r="AX43" i="1"/>
  <c r="AC43" i="10" s="1"/>
  <c r="BC57" i="1"/>
  <c r="AH57" i="10" s="1"/>
  <c r="AQ57" i="1"/>
  <c r="O57" i="10" s="1"/>
  <c r="N57" i="12" s="1"/>
  <c r="BA31" i="1"/>
  <c r="AF31" i="10" s="1"/>
  <c r="AO31" i="1"/>
  <c r="M31" i="10" s="1"/>
  <c r="L31" i="12" s="1"/>
  <c r="BC62" i="1"/>
  <c r="AH62" i="10" s="1"/>
  <c r="AQ62" i="1"/>
  <c r="O62" i="10" s="1"/>
  <c r="N62" i="12" s="1"/>
  <c r="AJ27" i="1"/>
  <c r="AV27" i="1"/>
  <c r="BA21" i="1"/>
  <c r="AF21" i="10" s="1"/>
  <c r="AO21" i="1"/>
  <c r="M21" i="10" s="1"/>
  <c r="L21" i="12" s="1"/>
  <c r="Z21" i="12" s="1"/>
  <c r="AM53" i="1"/>
  <c r="K53" i="10" s="1"/>
  <c r="J53" i="12" s="1"/>
  <c r="AY53" i="1"/>
  <c r="AD53" i="10" s="1"/>
  <c r="BB19" i="1"/>
  <c r="AG19" i="10" s="1"/>
  <c r="AP19" i="1"/>
  <c r="N19" i="10" s="1"/>
  <c r="M19" i="12" s="1"/>
  <c r="BA54" i="1"/>
  <c r="AF54" i="10" s="1"/>
  <c r="AO54" i="1"/>
  <c r="M54" i="10" s="1"/>
  <c r="L54" i="12" s="1"/>
  <c r="AX31" i="1"/>
  <c r="AC31" i="10" s="1"/>
  <c r="AL31" i="1"/>
  <c r="J31" i="10" s="1"/>
  <c r="I31" i="12" s="1"/>
  <c r="AV37" i="1"/>
  <c r="AJ37" i="1"/>
  <c r="AK61" i="1"/>
  <c r="I61" i="10" s="1"/>
  <c r="H61" i="12" s="1"/>
  <c r="AW61" i="1"/>
  <c r="AB61" i="10" s="1"/>
  <c r="AN37" i="1"/>
  <c r="L37" i="10" s="1"/>
  <c r="K37" i="12" s="1"/>
  <c r="AZ37" i="1"/>
  <c r="AE37" i="10" s="1"/>
  <c r="BB33" i="1"/>
  <c r="AG33" i="10" s="1"/>
  <c r="AP33" i="1"/>
  <c r="N33" i="10" s="1"/>
  <c r="M33" i="12" s="1"/>
  <c r="AN39" i="1"/>
  <c r="L39" i="10" s="1"/>
  <c r="K39" i="12" s="1"/>
  <c r="Y39" i="12" s="1"/>
  <c r="AZ39" i="1"/>
  <c r="AE39" i="10" s="1"/>
  <c r="AL45" i="1"/>
  <c r="J45" i="10" s="1"/>
  <c r="I45" i="12" s="1"/>
  <c r="AX45" i="1"/>
  <c r="AC45" i="10" s="1"/>
  <c r="BB18" i="1"/>
  <c r="AG18" i="10" s="1"/>
  <c r="AP18" i="1"/>
  <c r="N18" i="10" s="1"/>
  <c r="M18" i="12" s="1"/>
  <c r="BA53" i="1"/>
  <c r="AF53" i="10" s="1"/>
  <c r="AO53" i="1"/>
  <c r="M53" i="10" s="1"/>
  <c r="L53" i="12" s="1"/>
  <c r="AY43" i="1"/>
  <c r="AD43" i="10" s="1"/>
  <c r="AM43" i="1"/>
  <c r="K43" i="10" s="1"/>
  <c r="J43" i="12" s="1"/>
  <c r="AW4" i="1"/>
  <c r="AK4" i="1"/>
  <c r="AQ27" i="1"/>
  <c r="O27" i="10" s="1"/>
  <c r="N27" i="12" s="1"/>
  <c r="BC27" i="1"/>
  <c r="AH27" i="10" s="1"/>
  <c r="AO47" i="1"/>
  <c r="M47" i="10" s="1"/>
  <c r="L47" i="12" s="1"/>
  <c r="Z47" i="12" s="1"/>
  <c r="BA47" i="1"/>
  <c r="AF47" i="10" s="1"/>
  <c r="AL42" i="1"/>
  <c r="J42" i="10" s="1"/>
  <c r="I42" i="12" s="1"/>
  <c r="AX42" i="1"/>
  <c r="AC42" i="10" s="1"/>
  <c r="BC24" i="1"/>
  <c r="AH24" i="10" s="1"/>
  <c r="AQ24" i="1"/>
  <c r="O24" i="10" s="1"/>
  <c r="N24" i="12" s="1"/>
  <c r="AQ56" i="1"/>
  <c r="O56" i="10" s="1"/>
  <c r="N56" i="12" s="1"/>
  <c r="BC56" i="1"/>
  <c r="AH56" i="10" s="1"/>
  <c r="BB27" i="1"/>
  <c r="AG27" i="10" s="1"/>
  <c r="AP27" i="1"/>
  <c r="N27" i="10" s="1"/>
  <c r="M27" i="12" s="1"/>
  <c r="BB59" i="1"/>
  <c r="AG59" i="10" s="1"/>
  <c r="AP59" i="1"/>
  <c r="N59" i="10" s="1"/>
  <c r="M59" i="12" s="1"/>
  <c r="BA30" i="1"/>
  <c r="AF30" i="10" s="1"/>
  <c r="AO30" i="1"/>
  <c r="M30" i="10" s="1"/>
  <c r="L30" i="12" s="1"/>
  <c r="BA62" i="1"/>
  <c r="AF62" i="10" s="1"/>
  <c r="AO62" i="1"/>
  <c r="M62" i="10" s="1"/>
  <c r="L62" i="12" s="1"/>
  <c r="AZ33" i="1"/>
  <c r="AE33" i="10" s="1"/>
  <c r="AN33" i="1"/>
  <c r="L33" i="10" s="1"/>
  <c r="K33" i="12" s="1"/>
  <c r="AZ4" i="1"/>
  <c r="AN4" i="1"/>
  <c r="AY36" i="1"/>
  <c r="AD36" i="10" s="1"/>
  <c r="AM36" i="1"/>
  <c r="K36" i="10" s="1"/>
  <c r="J36" i="12" s="1"/>
  <c r="AX7" i="1"/>
  <c r="AL7" i="1"/>
  <c r="AX39" i="1"/>
  <c r="AC39" i="10" s="1"/>
  <c r="AL39" i="1"/>
  <c r="J39" i="10" s="1"/>
  <c r="I39" i="12" s="1"/>
  <c r="W39" i="12" s="1"/>
  <c r="AV36" i="1"/>
  <c r="AJ36" i="1"/>
  <c r="AV5" i="1"/>
  <c r="AJ5" i="1"/>
  <c r="AV53" i="1"/>
  <c r="AJ53" i="1"/>
  <c r="AY16" i="1"/>
  <c r="AD16" i="10" s="1"/>
  <c r="AM16" i="1"/>
  <c r="K16" i="10" s="1"/>
  <c r="J16" i="12" s="1"/>
  <c r="BA34" i="1"/>
  <c r="AF34" i="10" s="1"/>
  <c r="AO34" i="1"/>
  <c r="M34" i="10" s="1"/>
  <c r="L34" i="12" s="1"/>
  <c r="AM15" i="1"/>
  <c r="K15" i="10" s="1"/>
  <c r="J15" i="12" s="1"/>
  <c r="AY15" i="1"/>
  <c r="AD15" i="10" s="1"/>
  <c r="AK35" i="1"/>
  <c r="I35" i="10" s="1"/>
  <c r="H35" i="12" s="1"/>
  <c r="AW35" i="1"/>
  <c r="AB35" i="10" s="1"/>
  <c r="AM31" i="1"/>
  <c r="K31" i="10" s="1"/>
  <c r="J31" i="12" s="1"/>
  <c r="AY31" i="1"/>
  <c r="AD31" i="10" s="1"/>
  <c r="AJ15" i="1"/>
  <c r="AV15" i="1"/>
  <c r="AJ16" i="1"/>
  <c r="AV16" i="1"/>
  <c r="AQ21" i="1"/>
  <c r="O21" i="10" s="1"/>
  <c r="N21" i="12" s="1"/>
  <c r="AB21" i="12" s="1"/>
  <c r="BC21" i="1"/>
  <c r="AH21" i="10" s="1"/>
  <c r="AZ63" i="1"/>
  <c r="AE63" i="10" s="1"/>
  <c r="AN63" i="1"/>
  <c r="L63" i="10" s="1"/>
  <c r="K63" i="12" s="1"/>
  <c r="AP34" i="1"/>
  <c r="N34" i="10" s="1"/>
  <c r="M34" i="12" s="1"/>
  <c r="BB34" i="1"/>
  <c r="AG34" i="10" s="1"/>
  <c r="AX22" i="1"/>
  <c r="AC22" i="10" s="1"/>
  <c r="AL22" i="1"/>
  <c r="J22" i="10" s="1"/>
  <c r="I22" i="12" s="1"/>
  <c r="W22" i="12" s="1"/>
  <c r="BC59" i="1"/>
  <c r="AH59" i="10" s="1"/>
  <c r="AQ59" i="1"/>
  <c r="O59" i="10" s="1"/>
  <c r="N59" i="12" s="1"/>
  <c r="BC32" i="1"/>
  <c r="AH32" i="10" s="1"/>
  <c r="AQ32" i="1"/>
  <c r="O32" i="10" s="1"/>
  <c r="N32" i="12" s="1"/>
  <c r="AB32" i="12" s="1"/>
  <c r="AZ41" i="1"/>
  <c r="AE41" i="10" s="1"/>
  <c r="AN41" i="1"/>
  <c r="L41" i="10" s="1"/>
  <c r="K41" i="12" s="1"/>
  <c r="AX15" i="1"/>
  <c r="AC15" i="10" s="1"/>
  <c r="AL15" i="1"/>
  <c r="J15" i="10" s="1"/>
  <c r="I15" i="12" s="1"/>
  <c r="AX47" i="1"/>
  <c r="AC47" i="10" s="1"/>
  <c r="AL47" i="1"/>
  <c r="J47" i="10" s="1"/>
  <c r="I47" i="12" s="1"/>
  <c r="W47" i="12" s="1"/>
  <c r="AV44" i="1"/>
  <c r="AJ44" i="1"/>
  <c r="BC44" i="1"/>
  <c r="AH44" i="10" s="1"/>
  <c r="AQ44" i="1"/>
  <c r="O44" i="10" s="1"/>
  <c r="N44" i="12" s="1"/>
  <c r="AM40" i="1"/>
  <c r="K40" i="10" s="1"/>
  <c r="J40" i="12" s="1"/>
  <c r="AY40" i="1"/>
  <c r="AD40" i="10" s="1"/>
  <c r="AM10" i="1"/>
  <c r="K10" i="10" s="1"/>
  <c r="J10" i="12" s="1"/>
  <c r="X10" i="12" s="1"/>
  <c r="AY10" i="1"/>
  <c r="AD10" i="10" s="1"/>
  <c r="AQ22" i="1"/>
  <c r="O22" i="10" s="1"/>
  <c r="N22" i="12" s="1"/>
  <c r="BC22" i="1"/>
  <c r="AH22" i="10" s="1"/>
  <c r="AN36" i="1"/>
  <c r="L36" i="10" s="1"/>
  <c r="K36" i="12" s="1"/>
  <c r="AZ36" i="1"/>
  <c r="AE36" i="10" s="1"/>
  <c r="AX19" i="1"/>
  <c r="AC19" i="10" s="1"/>
  <c r="AL19" i="1"/>
  <c r="J19" i="10" s="1"/>
  <c r="I19" i="12" s="1"/>
  <c r="BC60" i="1"/>
  <c r="AH60" i="10" s="1"/>
  <c r="AQ60" i="1"/>
  <c r="O60" i="10" s="1"/>
  <c r="N60" i="12" s="1"/>
  <c r="AM54" i="1"/>
  <c r="K54" i="10" s="1"/>
  <c r="J54" i="12" s="1"/>
  <c r="AY54" i="1"/>
  <c r="AD54" i="10" s="1"/>
  <c r="AP20" i="1"/>
  <c r="N20" i="10" s="1"/>
  <c r="M20" i="12" s="1"/>
  <c r="BB20" i="1"/>
  <c r="AG20" i="10" s="1"/>
  <c r="BA23" i="1"/>
  <c r="AF23" i="10" s="1"/>
  <c r="AO23" i="1"/>
  <c r="M23" i="10" s="1"/>
  <c r="L23" i="12" s="1"/>
  <c r="BA50" i="1"/>
  <c r="AF50" i="10" s="1"/>
  <c r="AO50" i="1"/>
  <c r="M50" i="10" s="1"/>
  <c r="L50" i="12" s="1"/>
  <c r="BC36" i="1"/>
  <c r="AH36" i="10" s="1"/>
  <c r="AQ36" i="1"/>
  <c r="O36" i="10" s="1"/>
  <c r="N36" i="12" s="1"/>
  <c r="BC38" i="1"/>
  <c r="AH38" i="10" s="1"/>
  <c r="AQ38" i="1"/>
  <c r="O38" i="10" s="1"/>
  <c r="N38" i="12" s="1"/>
  <c r="AM42" i="1"/>
  <c r="K42" i="10" s="1"/>
  <c r="J42" i="12" s="1"/>
  <c r="AY42" i="1"/>
  <c r="AD42" i="10" s="1"/>
  <c r="AO5" i="1"/>
  <c r="BA5" i="1"/>
  <c r="AP46" i="1"/>
  <c r="N46" i="10" s="1"/>
  <c r="M46" i="12" s="1"/>
  <c r="BB46" i="1"/>
  <c r="AG46" i="10" s="1"/>
  <c r="BC40" i="1"/>
  <c r="AH40" i="10" s="1"/>
  <c r="AQ40" i="1"/>
  <c r="O40" i="10" s="1"/>
  <c r="N40" i="12" s="1"/>
  <c r="AO46" i="1"/>
  <c r="M46" i="10" s="1"/>
  <c r="L46" i="12" s="1"/>
  <c r="BA46" i="1"/>
  <c r="AF46" i="10" s="1"/>
  <c r="AX23" i="1"/>
  <c r="AC23" i="10" s="1"/>
  <c r="AL23" i="1"/>
  <c r="J23" i="10" s="1"/>
  <c r="I23" i="12" s="1"/>
  <c r="AV20" i="1"/>
  <c r="AJ20" i="1"/>
  <c r="AO49" i="1"/>
  <c r="M49" i="10" s="1"/>
  <c r="L49" i="12" s="1"/>
  <c r="BA49" i="1"/>
  <c r="AF49" i="10" s="1"/>
  <c r="AZ12" i="1"/>
  <c r="AE12" i="10" s="1"/>
  <c r="AN12" i="1"/>
  <c r="L12" i="10" s="1"/>
  <c r="K12" i="12" s="1"/>
  <c r="AJ63" i="1"/>
  <c r="AV63" i="1"/>
  <c r="AN28" i="1"/>
  <c r="L28" i="10" s="1"/>
  <c r="K28" i="12" s="1"/>
  <c r="AZ28" i="1"/>
  <c r="AE28" i="10" s="1"/>
  <c r="BA36" i="1"/>
  <c r="AF36" i="10" s="1"/>
  <c r="AO36" i="1"/>
  <c r="M36" i="10" s="1"/>
  <c r="L36" i="12" s="1"/>
  <c r="AO13" i="1"/>
  <c r="M13" i="10" s="1"/>
  <c r="L13" i="12" s="1"/>
  <c r="BA13" i="1"/>
  <c r="AF13" i="10" s="1"/>
  <c r="AP62" i="1"/>
  <c r="N62" i="10" s="1"/>
  <c r="M62" i="12" s="1"/>
  <c r="BB62" i="1"/>
  <c r="AG62" i="10" s="1"/>
  <c r="AK36" i="1"/>
  <c r="I36" i="10" s="1"/>
  <c r="H36" i="12" s="1"/>
  <c r="AW36" i="1"/>
  <c r="AB36" i="10" s="1"/>
  <c r="AN26" i="1"/>
  <c r="L26" i="10" s="1"/>
  <c r="K26" i="12" s="1"/>
  <c r="AZ26" i="1"/>
  <c r="AE26" i="10" s="1"/>
  <c r="BC9" i="1"/>
  <c r="AQ9" i="1"/>
  <c r="BB60" i="1"/>
  <c r="AG60" i="10" s="1"/>
  <c r="AP60" i="1"/>
  <c r="N60" i="10" s="1"/>
  <c r="M60" i="12" s="1"/>
  <c r="AZ53" i="1"/>
  <c r="AE53" i="10" s="1"/>
  <c r="AN53" i="1"/>
  <c r="L53" i="10" s="1"/>
  <c r="K53" i="12" s="1"/>
  <c r="AL13" i="1"/>
  <c r="J13" i="10" s="1"/>
  <c r="I13" i="12" s="1"/>
  <c r="AX13" i="1"/>
  <c r="AC13" i="10" s="1"/>
  <c r="BC63" i="1"/>
  <c r="AH63" i="10" s="1"/>
  <c r="AQ63" i="1"/>
  <c r="O63" i="10" s="1"/>
  <c r="N63" i="12" s="1"/>
  <c r="AW33" i="1"/>
  <c r="AB33" i="10" s="1"/>
  <c r="AK33" i="1"/>
  <c r="I33" i="10" s="1"/>
  <c r="H33" i="12" s="1"/>
  <c r="AO17" i="1"/>
  <c r="M17" i="10" s="1"/>
  <c r="L17" i="12" s="1"/>
  <c r="BA17" i="1"/>
  <c r="AF17" i="10" s="1"/>
  <c r="AQ48" i="1"/>
  <c r="O48" i="10" s="1"/>
  <c r="N48" i="12" s="1"/>
  <c r="BC48" i="1"/>
  <c r="AH48" i="10" s="1"/>
  <c r="AP51" i="1"/>
  <c r="N51" i="10" s="1"/>
  <c r="M51" i="12" s="1"/>
  <c r="BB51" i="1"/>
  <c r="AG51" i="10" s="1"/>
  <c r="AZ25" i="1"/>
  <c r="AE25" i="10" s="1"/>
  <c r="AN25" i="1"/>
  <c r="L25" i="10" s="1"/>
  <c r="K25" i="12" s="1"/>
  <c r="AY28" i="1"/>
  <c r="AD28" i="10" s="1"/>
  <c r="AM28" i="1"/>
  <c r="K28" i="10" s="1"/>
  <c r="J28" i="12" s="1"/>
  <c r="AW18" i="1"/>
  <c r="AB18" i="10" s="1"/>
  <c r="AK18" i="1"/>
  <c r="I18" i="10" s="1"/>
  <c r="H18" i="12" s="1"/>
  <c r="AN27" i="1"/>
  <c r="L27" i="10" s="1"/>
  <c r="K27" i="12" s="1"/>
  <c r="AZ27" i="1"/>
  <c r="AE27" i="10" s="1"/>
  <c r="AP63" i="1"/>
  <c r="N63" i="10" s="1"/>
  <c r="M63" i="12" s="1"/>
  <c r="BB63" i="1"/>
  <c r="AG63" i="10" s="1"/>
  <c r="BB41" i="1"/>
  <c r="AG41" i="10" s="1"/>
  <c r="AP41" i="1"/>
  <c r="N41" i="10" s="1"/>
  <c r="M41" i="12" s="1"/>
  <c r="AN47" i="1"/>
  <c r="L47" i="10" s="1"/>
  <c r="K47" i="12" s="1"/>
  <c r="Y47" i="12" s="1"/>
  <c r="AZ47" i="1"/>
  <c r="AE47" i="10" s="1"/>
  <c r="AL53" i="1"/>
  <c r="J53" i="10" s="1"/>
  <c r="I53" i="12" s="1"/>
  <c r="AX53" i="1"/>
  <c r="AC53" i="10" s="1"/>
  <c r="BB26" i="1"/>
  <c r="AG26" i="10" s="1"/>
  <c r="AP26" i="1"/>
  <c r="N26" i="10" s="1"/>
  <c r="M26" i="12" s="1"/>
  <c r="AZ8" i="1"/>
  <c r="AN8" i="1"/>
  <c r="AX14" i="1"/>
  <c r="AC14" i="10" s="1"/>
  <c r="AL14" i="1"/>
  <c r="J14" i="10" s="1"/>
  <c r="I14" i="12" s="1"/>
  <c r="BC43" i="1"/>
  <c r="AH43" i="10" s="1"/>
  <c r="AQ43" i="1"/>
  <c r="O43" i="10" s="1"/>
  <c r="N43" i="12" s="1"/>
  <c r="AO58" i="1"/>
  <c r="M58" i="10" s="1"/>
  <c r="L58" i="12" s="1"/>
  <c r="Z58" i="12" s="1"/>
  <c r="BA58" i="1"/>
  <c r="AF58" i="10" s="1"/>
  <c r="AL56" i="1"/>
  <c r="J56" i="10" s="1"/>
  <c r="I56" i="12" s="1"/>
  <c r="AX56" i="1"/>
  <c r="AC56" i="10" s="1"/>
  <c r="AM30" i="1"/>
  <c r="K30" i="10" s="1"/>
  <c r="J30" i="12" s="1"/>
  <c r="AY30" i="1"/>
  <c r="AD30" i="10" s="1"/>
  <c r="AJ39" i="1"/>
  <c r="AV39" i="1"/>
  <c r="AQ26" i="1"/>
  <c r="O26" i="10" s="1"/>
  <c r="N26" i="12" s="1"/>
  <c r="BC26" i="1"/>
  <c r="AH26" i="10" s="1"/>
  <c r="AO48" i="1"/>
  <c r="M48" i="10" s="1"/>
  <c r="L48" i="12" s="1"/>
  <c r="BA48" i="1"/>
  <c r="AF48" i="10" s="1"/>
  <c r="AM29" i="1"/>
  <c r="K29" i="10" s="1"/>
  <c r="J29" i="12" s="1"/>
  <c r="AY29" i="1"/>
  <c r="AD29" i="10" s="1"/>
  <c r="AK46" i="1"/>
  <c r="I46" i="10" s="1"/>
  <c r="H46" i="12" s="1"/>
  <c r="AW46" i="1"/>
  <c r="AB46" i="10" s="1"/>
  <c r="BC41" i="1"/>
  <c r="AH41" i="10" s="1"/>
  <c r="AQ41" i="1"/>
  <c r="O41" i="10" s="1"/>
  <c r="N41" i="12" s="1"/>
  <c r="BB12" i="1"/>
  <c r="AG12" i="10" s="1"/>
  <c r="AP12" i="1"/>
  <c r="N12" i="10" s="1"/>
  <c r="M12" i="12" s="1"/>
  <c r="AP44" i="1"/>
  <c r="N44" i="10" s="1"/>
  <c r="M44" i="12" s="1"/>
  <c r="BB44" i="1"/>
  <c r="AG44" i="10" s="1"/>
  <c r="AO15" i="1"/>
  <c r="M15" i="10" s="1"/>
  <c r="L15" i="12" s="1"/>
  <c r="BA15" i="1"/>
  <c r="AF15" i="10" s="1"/>
  <c r="AL35" i="1"/>
  <c r="J35" i="10" s="1"/>
  <c r="I35" i="12" s="1"/>
  <c r="AX35" i="1"/>
  <c r="AC35" i="10" s="1"/>
  <c r="Y12" i="4"/>
  <c r="Y53" i="4"/>
  <c r="Y64" i="4"/>
  <c r="Y19" i="4"/>
  <c r="Y7" i="4"/>
  <c r="Y20" i="4"/>
  <c r="B19" i="7" s="1"/>
  <c r="Y24" i="4"/>
  <c r="Y30" i="4"/>
  <c r="Y39" i="4"/>
  <c r="Y6" i="4"/>
  <c r="Y8" i="4"/>
  <c r="Y14" i="4"/>
  <c r="C13" i="7" s="1"/>
  <c r="F13" i="7" s="1"/>
  <c r="Y26" i="4"/>
  <c r="Y32" i="4"/>
  <c r="Y36" i="4"/>
  <c r="C35" i="7" s="1"/>
  <c r="F35" i="7" s="1"/>
  <c r="Y45" i="4"/>
  <c r="Y50" i="4"/>
  <c r="Y60" i="4"/>
  <c r="Y66" i="4"/>
  <c r="BA36" i="12" l="1"/>
  <c r="AD36" i="12"/>
  <c r="BA34" i="12"/>
  <c r="AD34" i="12"/>
  <c r="BA63" i="12"/>
  <c r="AD63" i="12"/>
  <c r="BA30" i="12"/>
  <c r="AD30" i="12"/>
  <c r="BA42" i="12"/>
  <c r="AD42" i="12"/>
  <c r="BA40" i="12"/>
  <c r="AD40" i="12"/>
  <c r="BA50" i="12"/>
  <c r="AD50" i="12"/>
  <c r="BA55" i="12"/>
  <c r="AD55" i="12"/>
  <c r="BA33" i="12"/>
  <c r="AD33" i="12"/>
  <c r="BA23" i="12"/>
  <c r="AD23" i="12"/>
  <c r="BA19" i="12"/>
  <c r="AD19" i="12"/>
  <c r="BA12" i="12"/>
  <c r="AD12" i="12"/>
  <c r="BA17" i="12"/>
  <c r="AD17" i="12"/>
  <c r="BA46" i="12"/>
  <c r="AD46" i="12"/>
  <c r="BA61" i="12"/>
  <c r="AD61" i="12"/>
  <c r="BA20" i="12"/>
  <c r="AD20" i="12"/>
  <c r="BA54" i="12"/>
  <c r="AD54" i="12"/>
  <c r="BA31" i="12"/>
  <c r="AD31" i="12"/>
  <c r="BA44" i="12"/>
  <c r="AD44" i="12"/>
  <c r="BA18" i="12"/>
  <c r="AD18" i="12"/>
  <c r="BA60" i="12"/>
  <c r="AD60" i="12"/>
  <c r="BA43" i="12"/>
  <c r="AD43" i="12"/>
  <c r="BK52" i="12"/>
  <c r="BL25" i="12"/>
  <c r="BA35" i="12"/>
  <c r="AD35" i="12"/>
  <c r="BA62" i="12"/>
  <c r="AD62" i="12"/>
  <c r="BA41" i="12"/>
  <c r="AD41" i="12"/>
  <c r="BA24" i="12"/>
  <c r="AD24" i="12"/>
  <c r="BJ51" i="12"/>
  <c r="BF44" i="12"/>
  <c r="AA44" i="12"/>
  <c r="BC30" i="12"/>
  <c r="X30" i="12"/>
  <c r="BG48" i="12"/>
  <c r="AB48" i="12"/>
  <c r="BB13" i="12"/>
  <c r="W13" i="12"/>
  <c r="BD26" i="12"/>
  <c r="Y26" i="12"/>
  <c r="BE49" i="12"/>
  <c r="Z49" i="12"/>
  <c r="BF20" i="12"/>
  <c r="AA20" i="12"/>
  <c r="BD36" i="12"/>
  <c r="Y36" i="12"/>
  <c r="BF34" i="12"/>
  <c r="AA34" i="12"/>
  <c r="BB42" i="12"/>
  <c r="W42" i="12"/>
  <c r="BC53" i="12"/>
  <c r="X53" i="12"/>
  <c r="BD61" i="12"/>
  <c r="Y61" i="12"/>
  <c r="BB34" i="12"/>
  <c r="W34" i="12"/>
  <c r="BF14" i="12"/>
  <c r="AA14" i="12"/>
  <c r="BD29" i="12"/>
  <c r="Y29" i="12"/>
  <c r="BF36" i="12"/>
  <c r="AA36" i="12"/>
  <c r="BD51" i="12"/>
  <c r="Y51" i="12"/>
  <c r="BD52" i="12"/>
  <c r="Y52" i="12"/>
  <c r="BD14" i="12"/>
  <c r="Y14" i="12"/>
  <c r="BE51" i="12"/>
  <c r="Z51" i="12"/>
  <c r="BB52" i="12"/>
  <c r="W52" i="12"/>
  <c r="BE42" i="12"/>
  <c r="Z42" i="12"/>
  <c r="BF24" i="12"/>
  <c r="AA24" i="12"/>
  <c r="BG51" i="12"/>
  <c r="AB51" i="12"/>
  <c r="BC13" i="12"/>
  <c r="X13" i="12"/>
  <c r="BI43" i="12"/>
  <c r="AC43" i="12"/>
  <c r="BF48" i="12"/>
  <c r="AA48" i="12"/>
  <c r="BD63" i="12"/>
  <c r="Y63" i="12"/>
  <c r="BB31" i="12"/>
  <c r="W31" i="12"/>
  <c r="BF28" i="12"/>
  <c r="AA28" i="12"/>
  <c r="BC55" i="12"/>
  <c r="X55" i="12"/>
  <c r="BF35" i="12"/>
  <c r="AA35" i="12"/>
  <c r="BD34" i="12"/>
  <c r="Y34" i="12"/>
  <c r="BF53" i="12"/>
  <c r="AA53" i="12"/>
  <c r="BE25" i="12"/>
  <c r="Z25" i="12"/>
  <c r="BB20" i="12"/>
  <c r="W20" i="12"/>
  <c r="BB28" i="12"/>
  <c r="W28" i="12"/>
  <c r="BC25" i="12"/>
  <c r="X25" i="12"/>
  <c r="BF37" i="12"/>
  <c r="AA37" i="12"/>
  <c r="BI28" i="12"/>
  <c r="AC28" i="12"/>
  <c r="BF12" i="12"/>
  <c r="AA12" i="12"/>
  <c r="BB59" i="12"/>
  <c r="W59" i="12"/>
  <c r="BE48" i="12"/>
  <c r="Z48" i="12"/>
  <c r="BB56" i="12"/>
  <c r="W56" i="12"/>
  <c r="BE17" i="12"/>
  <c r="Z17" i="12"/>
  <c r="BD28" i="12"/>
  <c r="Y28" i="12"/>
  <c r="BF46" i="12"/>
  <c r="AA46" i="12"/>
  <c r="BC54" i="12"/>
  <c r="X54" i="12"/>
  <c r="BG22" i="12"/>
  <c r="AB22" i="12"/>
  <c r="BC31" i="12"/>
  <c r="X31" i="12"/>
  <c r="BE14" i="12"/>
  <c r="Z14" i="12"/>
  <c r="BF52" i="12"/>
  <c r="AA52" i="12"/>
  <c r="BG64" i="12"/>
  <c r="AB64" i="12"/>
  <c r="BB57" i="12"/>
  <c r="W57" i="12"/>
  <c r="BB60" i="12"/>
  <c r="W60" i="12"/>
  <c r="BG13" i="12"/>
  <c r="AB13" i="12"/>
  <c r="BB40" i="12"/>
  <c r="W40" i="12"/>
  <c r="BB27" i="12"/>
  <c r="W27" i="12"/>
  <c r="BE19" i="12"/>
  <c r="Z19" i="12"/>
  <c r="BD45" i="12"/>
  <c r="Y45" i="12"/>
  <c r="BD18" i="12"/>
  <c r="Y18" i="12"/>
  <c r="BE63" i="12"/>
  <c r="Z63" i="12"/>
  <c r="BF13" i="12"/>
  <c r="AA13" i="12"/>
  <c r="BD30" i="12"/>
  <c r="Y30" i="12"/>
  <c r="BF38" i="12"/>
  <c r="AA38" i="12"/>
  <c r="BC28" i="12"/>
  <c r="X28" i="12"/>
  <c r="BD33" i="12"/>
  <c r="Y33" i="12"/>
  <c r="BF33" i="12"/>
  <c r="AA33" i="12"/>
  <c r="BB55" i="12"/>
  <c r="W55" i="12"/>
  <c r="BD25" i="12"/>
  <c r="Y25" i="12"/>
  <c r="BF60" i="12"/>
  <c r="AA60" i="12"/>
  <c r="BB23" i="12"/>
  <c r="W23" i="12"/>
  <c r="BE50" i="12"/>
  <c r="Z50" i="12"/>
  <c r="BG60" i="12"/>
  <c r="AB60" i="12"/>
  <c r="BG59" i="12"/>
  <c r="AB59" i="12"/>
  <c r="BE62" i="12"/>
  <c r="Z62" i="12"/>
  <c r="BF18" i="12"/>
  <c r="AA18" i="12"/>
  <c r="BE54" i="12"/>
  <c r="Z54" i="12"/>
  <c r="BC12" i="12"/>
  <c r="X12" i="12"/>
  <c r="BD11" i="12"/>
  <c r="Y11" i="12"/>
  <c r="BG33" i="12"/>
  <c r="AB33" i="12"/>
  <c r="BC27" i="12"/>
  <c r="X27" i="12"/>
  <c r="BB37" i="12"/>
  <c r="W37" i="12"/>
  <c r="BF31" i="12"/>
  <c r="AA31" i="12"/>
  <c r="BC20" i="12"/>
  <c r="X20" i="12"/>
  <c r="BG15" i="12"/>
  <c r="AB15" i="12"/>
  <c r="BF55" i="12"/>
  <c r="AA55" i="12"/>
  <c r="BD46" i="12"/>
  <c r="Y46" i="12"/>
  <c r="BI13" i="12"/>
  <c r="AC13" i="12"/>
  <c r="BI11" i="12"/>
  <c r="AC11" i="12"/>
  <c r="BI18" i="12"/>
  <c r="AC18" i="12"/>
  <c r="AX28" i="12"/>
  <c r="U28" i="12"/>
  <c r="BF27" i="12"/>
  <c r="AA27" i="12"/>
  <c r="BG57" i="12"/>
  <c r="AB57" i="12"/>
  <c r="BD40" i="12"/>
  <c r="Y40" i="12"/>
  <c r="BE18" i="12"/>
  <c r="Z18" i="12"/>
  <c r="BF26" i="12"/>
  <c r="AA26" i="12"/>
  <c r="BB35" i="12"/>
  <c r="W35" i="12"/>
  <c r="BG26" i="12"/>
  <c r="AB26" i="12"/>
  <c r="BF63" i="12"/>
  <c r="AA63" i="12"/>
  <c r="BF62" i="12"/>
  <c r="AA62" i="12"/>
  <c r="BG56" i="12"/>
  <c r="AB56" i="12"/>
  <c r="BG27" i="12"/>
  <c r="AB27" i="12"/>
  <c r="BD37" i="12"/>
  <c r="Y37" i="12"/>
  <c r="BB43" i="12"/>
  <c r="W43" i="12"/>
  <c r="BG11" i="12"/>
  <c r="AB11" i="12"/>
  <c r="BF11" i="12"/>
  <c r="AA11" i="12"/>
  <c r="BG49" i="12"/>
  <c r="AB49" i="12"/>
  <c r="BG18" i="12"/>
  <c r="AB18" i="12"/>
  <c r="BC64" i="12"/>
  <c r="X64" i="12"/>
  <c r="BG31" i="12"/>
  <c r="AB31" i="12"/>
  <c r="BC44" i="12"/>
  <c r="X44" i="12"/>
  <c r="BG23" i="12"/>
  <c r="AB23" i="12"/>
  <c r="BG45" i="12"/>
  <c r="AB45" i="12"/>
  <c r="BB48" i="12"/>
  <c r="W48" i="12"/>
  <c r="BE35" i="12"/>
  <c r="Z35" i="12"/>
  <c r="BB16" i="12"/>
  <c r="W16" i="12"/>
  <c r="BF61" i="12"/>
  <c r="AA61" i="12"/>
  <c r="BG20" i="12"/>
  <c r="AB20" i="12"/>
  <c r="BB41" i="12"/>
  <c r="W41" i="12"/>
  <c r="BG29" i="12"/>
  <c r="AB29" i="12"/>
  <c r="BG16" i="12"/>
  <c r="AB16" i="12"/>
  <c r="BI25" i="12"/>
  <c r="AC25" i="12"/>
  <c r="BD53" i="12"/>
  <c r="Y53" i="12"/>
  <c r="BG36" i="12"/>
  <c r="AB36" i="12"/>
  <c r="BE53" i="12"/>
  <c r="Z53" i="12"/>
  <c r="BD48" i="12"/>
  <c r="Y48" i="12"/>
  <c r="BE22" i="12"/>
  <c r="Z22" i="12"/>
  <c r="BG41" i="12"/>
  <c r="AB41" i="12"/>
  <c r="BG43" i="12"/>
  <c r="AB43" i="12"/>
  <c r="BG63" i="12"/>
  <c r="AB63" i="12"/>
  <c r="BD12" i="12"/>
  <c r="Y12" i="12"/>
  <c r="BE23" i="12"/>
  <c r="Z23" i="12"/>
  <c r="BB19" i="12"/>
  <c r="W19" i="12"/>
  <c r="BB15" i="12"/>
  <c r="W15" i="12"/>
  <c r="BC36" i="12"/>
  <c r="X36" i="12"/>
  <c r="BE30" i="12"/>
  <c r="Z30" i="12"/>
  <c r="BG24" i="12"/>
  <c r="AB24" i="12"/>
  <c r="BF19" i="12"/>
  <c r="AA19" i="12"/>
  <c r="BG62" i="12"/>
  <c r="AB62" i="12"/>
  <c r="BD13" i="12"/>
  <c r="Y13" i="12"/>
  <c r="BF15" i="12"/>
  <c r="AA15" i="12"/>
  <c r="BC52" i="12"/>
  <c r="X52" i="12"/>
  <c r="BE12" i="12"/>
  <c r="Z12" i="12"/>
  <c r="BE38" i="12"/>
  <c r="Z38" i="12"/>
  <c r="BF57" i="12"/>
  <c r="AA57" i="12"/>
  <c r="BE37" i="12"/>
  <c r="Z37" i="12"/>
  <c r="BC60" i="12"/>
  <c r="X60" i="12"/>
  <c r="BC11" i="12"/>
  <c r="X11" i="12"/>
  <c r="BD54" i="12"/>
  <c r="Y54" i="12"/>
  <c r="BD42" i="12"/>
  <c r="Y42" i="12"/>
  <c r="BI17" i="12"/>
  <c r="AC17" i="12"/>
  <c r="BE43" i="12"/>
  <c r="Z43" i="12"/>
  <c r="BI12" i="12"/>
  <c r="AC12" i="12"/>
  <c r="BE24" i="12"/>
  <c r="Z24" i="12"/>
  <c r="BL11" i="12"/>
  <c r="BC29" i="12"/>
  <c r="X29" i="12"/>
  <c r="BC16" i="12"/>
  <c r="X16" i="12"/>
  <c r="BE15" i="12"/>
  <c r="Z15" i="12"/>
  <c r="BD27" i="12"/>
  <c r="Y27" i="12"/>
  <c r="BE13" i="12"/>
  <c r="Z13" i="12"/>
  <c r="BC42" i="12"/>
  <c r="X42" i="12"/>
  <c r="BC15" i="12"/>
  <c r="X15" i="12"/>
  <c r="BB45" i="12"/>
  <c r="W45" i="12"/>
  <c r="BD50" i="12"/>
  <c r="Y50" i="12"/>
  <c r="BE33" i="12"/>
  <c r="Z33" i="12"/>
  <c r="BD17" i="12"/>
  <c r="Y17" i="12"/>
  <c r="BB33" i="12"/>
  <c r="W33" i="12"/>
  <c r="BC17" i="12"/>
  <c r="X17" i="12"/>
  <c r="BG42" i="12"/>
  <c r="AB42" i="12"/>
  <c r="BG50" i="12"/>
  <c r="AB50" i="12"/>
  <c r="BE55" i="12"/>
  <c r="Z55" i="12"/>
  <c r="BG52" i="12"/>
  <c r="AB52" i="12"/>
  <c r="BF64" i="12"/>
  <c r="AA64" i="12"/>
  <c r="BI31" i="12"/>
  <c r="AC31" i="12"/>
  <c r="BI30" i="12"/>
  <c r="AC30" i="12"/>
  <c r="BI42" i="12"/>
  <c r="AC42" i="12"/>
  <c r="BF41" i="12"/>
  <c r="AA41" i="12"/>
  <c r="BB38" i="12"/>
  <c r="W38" i="12"/>
  <c r="BB53" i="12"/>
  <c r="W53" i="12"/>
  <c r="BF51" i="12"/>
  <c r="AA51" i="12"/>
  <c r="BE46" i="12"/>
  <c r="Z46" i="12"/>
  <c r="BC40" i="12"/>
  <c r="X40" i="12"/>
  <c r="BB14" i="12"/>
  <c r="W14" i="12"/>
  <c r="BE36" i="12"/>
  <c r="Z36" i="12"/>
  <c r="BG40" i="12"/>
  <c r="AB40" i="12"/>
  <c r="BG38" i="12"/>
  <c r="AB38" i="12"/>
  <c r="BG44" i="12"/>
  <c r="AB44" i="12"/>
  <c r="BD41" i="12"/>
  <c r="Y41" i="12"/>
  <c r="BE34" i="12"/>
  <c r="Z34" i="12"/>
  <c r="BF59" i="12"/>
  <c r="AA59" i="12"/>
  <c r="BC43" i="12"/>
  <c r="X43" i="12"/>
  <c r="BE31" i="12"/>
  <c r="Z31" i="12"/>
  <c r="BG46" i="12"/>
  <c r="AB46" i="12"/>
  <c r="BD49" i="12"/>
  <c r="Y49" i="12"/>
  <c r="BB46" i="12"/>
  <c r="W46" i="12"/>
  <c r="BG30" i="12"/>
  <c r="AB30" i="12"/>
  <c r="BF17" i="12"/>
  <c r="AA17" i="12"/>
  <c r="BD57" i="12"/>
  <c r="Y57" i="12"/>
  <c r="BE52" i="12"/>
  <c r="Z52" i="12"/>
  <c r="BF43" i="12"/>
  <c r="AA43" i="12"/>
  <c r="BD16" i="12"/>
  <c r="Y16" i="12"/>
  <c r="BC48" i="12"/>
  <c r="X48" i="12"/>
  <c r="BC24" i="12"/>
  <c r="X24" i="12"/>
  <c r="BC57" i="12"/>
  <c r="X57" i="12"/>
  <c r="BD62" i="12"/>
  <c r="Y62" i="12"/>
  <c r="BC37" i="12"/>
  <c r="X37" i="12"/>
  <c r="BG25" i="12"/>
  <c r="AB25" i="12"/>
  <c r="BE26" i="12"/>
  <c r="Z26" i="12"/>
  <c r="BJ35" i="12"/>
  <c r="BL12" i="12"/>
  <c r="BD39" i="12"/>
  <c r="BI60" i="12"/>
  <c r="BG32" i="12"/>
  <c r="BB39" i="12"/>
  <c r="BE21" i="12"/>
  <c r="BE39" i="12"/>
  <c r="BD21" i="12"/>
  <c r="BJ12" i="12"/>
  <c r="BJ11" i="12"/>
  <c r="BD47" i="12"/>
  <c r="BI56" i="12"/>
  <c r="BE47" i="12"/>
  <c r="BC32" i="12"/>
  <c r="BD32" i="12"/>
  <c r="BI55" i="12"/>
  <c r="BB47" i="12"/>
  <c r="BF58" i="12"/>
  <c r="BI47" i="12"/>
  <c r="BJ60" i="12"/>
  <c r="BJ61" i="12"/>
  <c r="BB32" i="12"/>
  <c r="BD10" i="12"/>
  <c r="BE10" i="12"/>
  <c r="BI61" i="12"/>
  <c r="BL36" i="12"/>
  <c r="BL35" i="12"/>
  <c r="BC10" i="12"/>
  <c r="BB22" i="12"/>
  <c r="BC58" i="12"/>
  <c r="BA32" i="12"/>
  <c r="BF39" i="12"/>
  <c r="BF10" i="12"/>
  <c r="BE58" i="12"/>
  <c r="BG21" i="12"/>
  <c r="BA21" i="12"/>
  <c r="BG10" i="12"/>
  <c r="BI49" i="12"/>
  <c r="BK35" i="12"/>
  <c r="BK36" i="12"/>
  <c r="BK42" i="12"/>
  <c r="BK41" i="12"/>
  <c r="BK60" i="12"/>
  <c r="BK61" i="12"/>
  <c r="BB58" i="12"/>
  <c r="BI50" i="12"/>
  <c r="BF32" i="12"/>
  <c r="BI57" i="12"/>
  <c r="BL65" i="12" s="1"/>
  <c r="BI58" i="12"/>
  <c r="BL66" i="12" s="1"/>
  <c r="Q13" i="12"/>
  <c r="Q58" i="12"/>
  <c r="Q28" i="12"/>
  <c r="Q47" i="12"/>
  <c r="Q57" i="12"/>
  <c r="Q49" i="12"/>
  <c r="Q42" i="12"/>
  <c r="Q50" i="12"/>
  <c r="Q55" i="12"/>
  <c r="Q25" i="12"/>
  <c r="Q11" i="12"/>
  <c r="Q56" i="12"/>
  <c r="Q12" i="12"/>
  <c r="Q17" i="12"/>
  <c r="Q61" i="12"/>
  <c r="Q31" i="12"/>
  <c r="G28" i="12"/>
  <c r="Q30" i="12"/>
  <c r="Q18" i="12"/>
  <c r="Q60" i="12"/>
  <c r="Q43" i="12"/>
  <c r="R47" i="12"/>
  <c r="R48" i="12"/>
  <c r="R16" i="12"/>
  <c r="R41" i="12"/>
  <c r="R21" i="12"/>
  <c r="R29" i="12"/>
  <c r="R23" i="12"/>
  <c r="P40" i="12"/>
  <c r="R63" i="12"/>
  <c r="R32" i="12"/>
  <c r="R44" i="12"/>
  <c r="R19" i="12"/>
  <c r="R15" i="12"/>
  <c r="R22" i="12"/>
  <c r="P48" i="12"/>
  <c r="AC48" i="12" s="1"/>
  <c r="R12" i="12"/>
  <c r="R45" i="12"/>
  <c r="R33" i="12"/>
  <c r="R64" i="12"/>
  <c r="R36" i="12"/>
  <c r="R18" i="12"/>
  <c r="R25" i="12"/>
  <c r="R26" i="12"/>
  <c r="R35" i="12"/>
  <c r="R43" i="12"/>
  <c r="R53" i="12"/>
  <c r="R14" i="12"/>
  <c r="R46" i="12"/>
  <c r="G8" i="14"/>
  <c r="CE47" i="1"/>
  <c r="BV48" i="1" s="1"/>
  <c r="R49" i="12"/>
  <c r="R37" i="12"/>
  <c r="R13" i="12"/>
  <c r="R42" i="12"/>
  <c r="R58" i="12"/>
  <c r="R34" i="12"/>
  <c r="R52" i="12"/>
  <c r="R50" i="12"/>
  <c r="R24" i="12"/>
  <c r="R11" i="12"/>
  <c r="R10" i="12"/>
  <c r="R38" i="12"/>
  <c r="R59" i="12"/>
  <c r="R55" i="12"/>
  <c r="R20" i="12"/>
  <c r="R28" i="12"/>
  <c r="P32" i="12"/>
  <c r="R30" i="12"/>
  <c r="R31" i="12"/>
  <c r="R56" i="12"/>
  <c r="R57" i="12"/>
  <c r="R60" i="12"/>
  <c r="R27" i="12"/>
  <c r="P24" i="12"/>
  <c r="R51" i="12"/>
  <c r="R62" i="12"/>
  <c r="R17" i="12"/>
  <c r="R54" i="12"/>
  <c r="R61" i="12"/>
  <c r="AU9" i="1"/>
  <c r="G57" i="6"/>
  <c r="H57" i="6" s="1"/>
  <c r="I57" i="6" s="1"/>
  <c r="AU6" i="1"/>
  <c r="AU8" i="1"/>
  <c r="G22" i="6"/>
  <c r="H22" i="6" s="1"/>
  <c r="I22" i="6" s="1"/>
  <c r="AU40" i="1"/>
  <c r="G12" i="6"/>
  <c r="H12" i="6" s="1"/>
  <c r="I12" i="6" s="1"/>
  <c r="BG4" i="1"/>
  <c r="AU7" i="1"/>
  <c r="H26" i="10"/>
  <c r="P26" i="12" s="1"/>
  <c r="AU26" i="1"/>
  <c r="AA47" i="10"/>
  <c r="G47" i="6" s="1"/>
  <c r="H47" i="6" s="1"/>
  <c r="I47" i="6" s="1"/>
  <c r="BG47" i="1"/>
  <c r="AA16" i="10"/>
  <c r="G16" i="6" s="1"/>
  <c r="H16" i="6" s="1"/>
  <c r="I16" i="6" s="1"/>
  <c r="BG16" i="1"/>
  <c r="H14" i="10"/>
  <c r="P14" i="12" s="1"/>
  <c r="AU14" i="1"/>
  <c r="AA26" i="10"/>
  <c r="G26" i="6" s="1"/>
  <c r="H26" i="6" s="1"/>
  <c r="I26" i="6" s="1"/>
  <c r="BG26" i="1"/>
  <c r="AU13" i="1"/>
  <c r="AU50" i="1"/>
  <c r="C11" i="6"/>
  <c r="D11" i="6" s="1"/>
  <c r="E11" i="6" s="1"/>
  <c r="G60" i="6"/>
  <c r="H60" i="6" s="1"/>
  <c r="I60" i="6" s="1"/>
  <c r="AU57" i="1"/>
  <c r="AU18" i="1"/>
  <c r="H51" i="12"/>
  <c r="C51" i="6"/>
  <c r="D51" i="6" s="1"/>
  <c r="E51" i="6" s="1"/>
  <c r="BG11" i="1"/>
  <c r="AU58" i="1"/>
  <c r="H39" i="10"/>
  <c r="H16" i="10"/>
  <c r="P16" i="12" s="1"/>
  <c r="AU16" i="1"/>
  <c r="BG5" i="1"/>
  <c r="AA14" i="10"/>
  <c r="G14" i="6" s="1"/>
  <c r="H14" i="6" s="1"/>
  <c r="I14" i="6" s="1"/>
  <c r="BG14" i="1"/>
  <c r="H46" i="10"/>
  <c r="P46" i="12" s="1"/>
  <c r="AU46" i="1"/>
  <c r="C40" i="6"/>
  <c r="D40" i="6" s="1"/>
  <c r="E40" i="6" s="1"/>
  <c r="M40" i="12"/>
  <c r="H41" i="10"/>
  <c r="P41" i="12" s="1"/>
  <c r="AU41" i="1"/>
  <c r="H33" i="10"/>
  <c r="P33" i="12" s="1"/>
  <c r="AU33" i="1"/>
  <c r="AB13" i="10"/>
  <c r="G13" i="6" s="1"/>
  <c r="H13" i="6" s="1"/>
  <c r="I13" i="6" s="1"/>
  <c r="BG13" i="1"/>
  <c r="AA30" i="10"/>
  <c r="G30" i="6" s="1"/>
  <c r="H30" i="6" s="1"/>
  <c r="I30" i="6" s="1"/>
  <c r="BG30" i="1"/>
  <c r="C13" i="6"/>
  <c r="D13" i="6" s="1"/>
  <c r="E13" i="6" s="1"/>
  <c r="C50" i="6"/>
  <c r="D50" i="6" s="1"/>
  <c r="E50" i="6" s="1"/>
  <c r="AU61" i="1"/>
  <c r="BG28" i="1"/>
  <c r="AU31" i="1"/>
  <c r="BG48" i="1"/>
  <c r="C57" i="6"/>
  <c r="D57" i="6" s="1"/>
  <c r="E57" i="6" s="1"/>
  <c r="C18" i="6"/>
  <c r="D18" i="6" s="1"/>
  <c r="E18" i="6" s="1"/>
  <c r="AU43" i="1"/>
  <c r="G11" i="6"/>
  <c r="H11" i="6" s="1"/>
  <c r="I11" i="6" s="1"/>
  <c r="C58" i="6"/>
  <c r="D58" i="6" s="1"/>
  <c r="E58" i="6" s="1"/>
  <c r="C24" i="6"/>
  <c r="D24" i="6" s="1"/>
  <c r="E24" i="6" s="1"/>
  <c r="AA15" i="10"/>
  <c r="G15" i="6" s="1"/>
  <c r="H15" i="6" s="1"/>
  <c r="I15" i="6" s="1"/>
  <c r="BG15" i="1"/>
  <c r="H36" i="10"/>
  <c r="P36" i="12" s="1"/>
  <c r="AU36" i="1"/>
  <c r="H37" i="10"/>
  <c r="P37" i="12" s="1"/>
  <c r="AU37" i="1"/>
  <c r="AC58" i="10"/>
  <c r="G58" i="6" s="1"/>
  <c r="H58" i="6" s="1"/>
  <c r="I58" i="6" s="1"/>
  <c r="BG58" i="1"/>
  <c r="AA19" i="10"/>
  <c r="G19" i="6" s="1"/>
  <c r="H19" i="6" s="1"/>
  <c r="I19" i="6" s="1"/>
  <c r="BG19" i="1"/>
  <c r="H29" i="10"/>
  <c r="P29" i="12" s="1"/>
  <c r="AU29" i="1"/>
  <c r="AA38" i="10"/>
  <c r="G38" i="6" s="1"/>
  <c r="H38" i="6" s="1"/>
  <c r="I38" i="6" s="1"/>
  <c r="BG38" i="1"/>
  <c r="AA46" i="10"/>
  <c r="G46" i="6" s="1"/>
  <c r="H46" i="6" s="1"/>
  <c r="I46" i="6" s="1"/>
  <c r="BG46" i="1"/>
  <c r="AU4" i="1"/>
  <c r="AA49" i="10"/>
  <c r="G49" i="6" s="1"/>
  <c r="H49" i="6" s="1"/>
  <c r="I49" i="6" s="1"/>
  <c r="BG49" i="1"/>
  <c r="AU25" i="1"/>
  <c r="AU56" i="1"/>
  <c r="C61" i="6"/>
  <c r="D61" i="6" s="1"/>
  <c r="E61" i="6" s="1"/>
  <c r="G28" i="6"/>
  <c r="H28" i="6" s="1"/>
  <c r="I28" i="6" s="1"/>
  <c r="C31" i="6"/>
  <c r="D31" i="6" s="1"/>
  <c r="E31" i="6" s="1"/>
  <c r="G48" i="6"/>
  <c r="H48" i="6" s="1"/>
  <c r="I48" i="6" s="1"/>
  <c r="AU60" i="1"/>
  <c r="C43" i="6"/>
  <c r="D43" i="6" s="1"/>
  <c r="E43" i="6" s="1"/>
  <c r="C48" i="6"/>
  <c r="D48" i="6" s="1"/>
  <c r="E48" i="6" s="1"/>
  <c r="BG61" i="1"/>
  <c r="AU42" i="1"/>
  <c r="H22" i="10"/>
  <c r="P22" i="12" s="1"/>
  <c r="AU22" i="1"/>
  <c r="AA37" i="10"/>
  <c r="G37" i="6" s="1"/>
  <c r="H37" i="6" s="1"/>
  <c r="I37" i="6" s="1"/>
  <c r="BG37" i="1"/>
  <c r="H19" i="10"/>
  <c r="P19" i="12" s="1"/>
  <c r="AU19" i="1"/>
  <c r="AA29" i="10"/>
  <c r="G29" i="6" s="1"/>
  <c r="H29" i="6" s="1"/>
  <c r="I29" i="6" s="1"/>
  <c r="BG29" i="1"/>
  <c r="H38" i="10"/>
  <c r="P38" i="12" s="1"/>
  <c r="AU38" i="1"/>
  <c r="BG6" i="1"/>
  <c r="C25" i="6"/>
  <c r="D25" i="6" s="1"/>
  <c r="E25" i="6" s="1"/>
  <c r="C56" i="6"/>
  <c r="D56" i="6" s="1"/>
  <c r="E56" i="6" s="1"/>
  <c r="C60" i="6"/>
  <c r="D60" i="6" s="1"/>
  <c r="E60" i="6" s="1"/>
  <c r="BG25" i="1"/>
  <c r="BG12" i="1"/>
  <c r="AU12" i="1"/>
  <c r="G61" i="6"/>
  <c r="H61" i="6" s="1"/>
  <c r="I61" i="6" s="1"/>
  <c r="C42" i="6"/>
  <c r="D42" i="6" s="1"/>
  <c r="E42" i="6" s="1"/>
  <c r="H23" i="10"/>
  <c r="P23" i="12" s="1"/>
  <c r="AU23" i="1"/>
  <c r="AA39" i="10"/>
  <c r="G39" i="6" s="1"/>
  <c r="H39" i="6" s="1"/>
  <c r="I39" i="6" s="1"/>
  <c r="BG39" i="1"/>
  <c r="H52" i="10"/>
  <c r="P52" i="12" s="1"/>
  <c r="AC52" i="12" s="1"/>
  <c r="AU52" i="1"/>
  <c r="H21" i="10"/>
  <c r="P21" i="12" s="1"/>
  <c r="AU21" i="1"/>
  <c r="AA62" i="10"/>
  <c r="G62" i="6" s="1"/>
  <c r="H62" i="6" s="1"/>
  <c r="I62" i="6" s="1"/>
  <c r="BG62" i="1"/>
  <c r="H35" i="10"/>
  <c r="P35" i="12" s="1"/>
  <c r="AU35" i="1"/>
  <c r="H64" i="10"/>
  <c r="P64" i="12" s="1"/>
  <c r="AC64" i="12" s="1"/>
  <c r="AU64" i="1"/>
  <c r="AA50" i="10"/>
  <c r="G50" i="6" s="1"/>
  <c r="H50" i="6" s="1"/>
  <c r="I50" i="6" s="1"/>
  <c r="BG50" i="1"/>
  <c r="AA42" i="10"/>
  <c r="G42" i="6" s="1"/>
  <c r="H42" i="6" s="1"/>
  <c r="I42" i="6" s="1"/>
  <c r="BG42" i="1"/>
  <c r="AA54" i="10"/>
  <c r="G54" i="6" s="1"/>
  <c r="H54" i="6" s="1"/>
  <c r="I54" i="6" s="1"/>
  <c r="BG54" i="1"/>
  <c r="AA18" i="10"/>
  <c r="G18" i="6" s="1"/>
  <c r="H18" i="6" s="1"/>
  <c r="I18" i="6" s="1"/>
  <c r="BG18" i="1"/>
  <c r="AA31" i="10"/>
  <c r="G31" i="6" s="1"/>
  <c r="H31" i="6" s="1"/>
  <c r="I31" i="6" s="1"/>
  <c r="BG31" i="1"/>
  <c r="AU32" i="1"/>
  <c r="AU17" i="1"/>
  <c r="AU47" i="1"/>
  <c r="BG51" i="1"/>
  <c r="AU28" i="1"/>
  <c r="G25" i="6"/>
  <c r="H25" i="6" s="1"/>
  <c r="I25" i="6" s="1"/>
  <c r="BG57" i="1"/>
  <c r="C12" i="6"/>
  <c r="D12" i="6" s="1"/>
  <c r="E12" i="6" s="1"/>
  <c r="BG40" i="1"/>
  <c r="H63" i="10"/>
  <c r="P63" i="12" s="1"/>
  <c r="AC63" i="12" s="1"/>
  <c r="AU63" i="1"/>
  <c r="AU5" i="1"/>
  <c r="AA41" i="10"/>
  <c r="G41" i="6" s="1"/>
  <c r="H41" i="6" s="1"/>
  <c r="I41" i="6" s="1"/>
  <c r="BG41" i="1"/>
  <c r="H15" i="10"/>
  <c r="P15" i="12" s="1"/>
  <c r="AU15" i="1"/>
  <c r="AA36" i="10"/>
  <c r="G36" i="6" s="1"/>
  <c r="H36" i="6" s="1"/>
  <c r="I36" i="6" s="1"/>
  <c r="BG36" i="1"/>
  <c r="H20" i="10"/>
  <c r="P20" i="12" s="1"/>
  <c r="AU20" i="1"/>
  <c r="H44" i="10"/>
  <c r="P44" i="12" s="1"/>
  <c r="AU44" i="1"/>
  <c r="AA20" i="10"/>
  <c r="G20" i="6" s="1"/>
  <c r="H20" i="6" s="1"/>
  <c r="I20" i="6" s="1"/>
  <c r="BG20" i="1"/>
  <c r="AA44" i="10"/>
  <c r="G44" i="6" s="1"/>
  <c r="H44" i="6" s="1"/>
  <c r="I44" i="6" s="1"/>
  <c r="BG44" i="1"/>
  <c r="AA52" i="10"/>
  <c r="G52" i="6" s="1"/>
  <c r="H52" i="6" s="1"/>
  <c r="I52" i="6" s="1"/>
  <c r="BG52" i="1"/>
  <c r="AA21" i="10"/>
  <c r="G21" i="6" s="1"/>
  <c r="H21" i="6" s="1"/>
  <c r="I21" i="6" s="1"/>
  <c r="BG21" i="1"/>
  <c r="H62" i="10"/>
  <c r="P62" i="12" s="1"/>
  <c r="AC62" i="12" s="1"/>
  <c r="AU62" i="1"/>
  <c r="AA35" i="10"/>
  <c r="G35" i="6" s="1"/>
  <c r="H35" i="6" s="1"/>
  <c r="I35" i="6" s="1"/>
  <c r="BG35" i="1"/>
  <c r="I59" i="10"/>
  <c r="AU59" i="1"/>
  <c r="H54" i="10"/>
  <c r="P54" i="12" s="1"/>
  <c r="AC54" i="12" s="1"/>
  <c r="AU54" i="1"/>
  <c r="AA10" i="10"/>
  <c r="G10" i="6" s="1"/>
  <c r="H10" i="6" s="1"/>
  <c r="I10" i="6" s="1"/>
  <c r="BG10" i="1"/>
  <c r="BG7" i="1"/>
  <c r="BG8" i="1"/>
  <c r="C17" i="6"/>
  <c r="D17" i="6" s="1"/>
  <c r="E17" i="6" s="1"/>
  <c r="BG24" i="1"/>
  <c r="C47" i="6"/>
  <c r="D47" i="6" s="1"/>
  <c r="E47" i="6" s="1"/>
  <c r="G51" i="6"/>
  <c r="H51" i="6" s="1"/>
  <c r="I51" i="6" s="1"/>
  <c r="C28" i="6"/>
  <c r="D28" i="6" s="1"/>
  <c r="E28" i="6" s="1"/>
  <c r="BG33" i="1"/>
  <c r="BG34" i="1"/>
  <c r="AU30" i="1"/>
  <c r="G40" i="6"/>
  <c r="H40" i="6" s="1"/>
  <c r="I40" i="6" s="1"/>
  <c r="AU49" i="1"/>
  <c r="BG43" i="1"/>
  <c r="AA53" i="10"/>
  <c r="G53" i="6" s="1"/>
  <c r="H53" i="6" s="1"/>
  <c r="I53" i="6" s="1"/>
  <c r="BG53" i="1"/>
  <c r="H27" i="10"/>
  <c r="P27" i="12" s="1"/>
  <c r="AU27" i="1"/>
  <c r="AA45" i="10"/>
  <c r="G45" i="6" s="1"/>
  <c r="H45" i="6" s="1"/>
  <c r="I45" i="6" s="1"/>
  <c r="BG45" i="1"/>
  <c r="AA56" i="10"/>
  <c r="G56" i="6" s="1"/>
  <c r="H56" i="6" s="1"/>
  <c r="I56" i="6" s="1"/>
  <c r="BG56" i="1"/>
  <c r="AA63" i="10"/>
  <c r="G63" i="6" s="1"/>
  <c r="H63" i="6" s="1"/>
  <c r="I63" i="6" s="1"/>
  <c r="BG63" i="1"/>
  <c r="H53" i="10"/>
  <c r="P53" i="12" s="1"/>
  <c r="AC53" i="12" s="1"/>
  <c r="AU53" i="1"/>
  <c r="AA27" i="10"/>
  <c r="G27" i="6" s="1"/>
  <c r="H27" i="6" s="1"/>
  <c r="I27" i="6" s="1"/>
  <c r="BG27" i="1"/>
  <c r="N39" i="12"/>
  <c r="AB39" i="12" s="1"/>
  <c r="H45" i="10"/>
  <c r="P45" i="12" s="1"/>
  <c r="AU45" i="1"/>
  <c r="AA23" i="10"/>
  <c r="G23" i="6" s="1"/>
  <c r="H23" i="6" s="1"/>
  <c r="I23" i="6" s="1"/>
  <c r="BG23" i="1"/>
  <c r="BG9" i="1"/>
  <c r="AA17" i="10"/>
  <c r="G17" i="6" s="1"/>
  <c r="H17" i="6" s="1"/>
  <c r="I17" i="6" s="1"/>
  <c r="BG17" i="1"/>
  <c r="AA55" i="10"/>
  <c r="G55" i="6" s="1"/>
  <c r="H55" i="6" s="1"/>
  <c r="I55" i="6" s="1"/>
  <c r="BG55" i="1"/>
  <c r="H10" i="10"/>
  <c r="P10" i="12" s="1"/>
  <c r="AU10" i="1"/>
  <c r="AA32" i="10"/>
  <c r="G32" i="6" s="1"/>
  <c r="H32" i="6" s="1"/>
  <c r="I32" i="6" s="1"/>
  <c r="BG32" i="1"/>
  <c r="H34" i="10"/>
  <c r="P34" i="12" s="1"/>
  <c r="AU34" i="1"/>
  <c r="AU55" i="1"/>
  <c r="G24" i="6"/>
  <c r="H24" i="6" s="1"/>
  <c r="I24" i="6" s="1"/>
  <c r="C32" i="6"/>
  <c r="D32" i="6" s="1"/>
  <c r="E32" i="6" s="1"/>
  <c r="BG64" i="1"/>
  <c r="BG59" i="1"/>
  <c r="G33" i="6"/>
  <c r="H33" i="6" s="1"/>
  <c r="I33" i="6" s="1"/>
  <c r="G34" i="6"/>
  <c r="H34" i="6" s="1"/>
  <c r="I34" i="6" s="1"/>
  <c r="C30" i="6"/>
  <c r="D30" i="6" s="1"/>
  <c r="E30" i="6" s="1"/>
  <c r="AU24" i="1"/>
  <c r="C49" i="6"/>
  <c r="D49" i="6" s="1"/>
  <c r="E49" i="6" s="1"/>
  <c r="G43" i="6"/>
  <c r="H43" i="6" s="1"/>
  <c r="I43" i="6" s="1"/>
  <c r="C55" i="6"/>
  <c r="D55" i="6" s="1"/>
  <c r="E55" i="6" s="1"/>
  <c r="AU11" i="1"/>
  <c r="BG60" i="1"/>
  <c r="AU48" i="1"/>
  <c r="BG22" i="1"/>
  <c r="G64" i="6"/>
  <c r="H64" i="6" s="1"/>
  <c r="I64" i="6" s="1"/>
  <c r="G59" i="6"/>
  <c r="H59" i="6" s="1"/>
  <c r="I59" i="6" s="1"/>
  <c r="AU51" i="1"/>
  <c r="B23" i="7"/>
  <c r="A24" i="10"/>
  <c r="A24" i="6" s="1"/>
  <c r="C23" i="7"/>
  <c r="F23" i="7" s="1"/>
  <c r="A23" i="7"/>
  <c r="A24" i="1"/>
  <c r="B13" i="7"/>
  <c r="C16" i="7"/>
  <c r="F16" i="7" s="1"/>
  <c r="A17" i="10"/>
  <c r="A17" i="6" s="1"/>
  <c r="B16" i="7"/>
  <c r="A16" i="7"/>
  <c r="A17" i="1"/>
  <c r="A60" i="10"/>
  <c r="A60" i="6" s="1"/>
  <c r="C60" i="7"/>
  <c r="F60" i="7" s="1"/>
  <c r="B60" i="7"/>
  <c r="A60" i="7"/>
  <c r="A60" i="1"/>
  <c r="D35" i="7"/>
  <c r="C52" i="7"/>
  <c r="F52" i="7" s="1"/>
  <c r="A52" i="10"/>
  <c r="A52" i="6" s="1"/>
  <c r="B52" i="7"/>
  <c r="A52" i="7"/>
  <c r="A52" i="1"/>
  <c r="A6" i="10"/>
  <c r="A6" i="6" s="1"/>
  <c r="C5" i="7"/>
  <c r="A5" i="7"/>
  <c r="A6" i="1"/>
  <c r="B32" i="7"/>
  <c r="A32" i="10"/>
  <c r="A32" i="6" s="1"/>
  <c r="C32" i="7"/>
  <c r="F32" i="7" s="1"/>
  <c r="A32" i="7"/>
  <c r="A32" i="1"/>
  <c r="B31" i="7"/>
  <c r="A31" i="10"/>
  <c r="A31" i="6" s="1"/>
  <c r="C31" i="7"/>
  <c r="F31" i="7" s="1"/>
  <c r="A31" i="7"/>
  <c r="A31" i="1"/>
  <c r="C17" i="7"/>
  <c r="F17" i="7" s="1"/>
  <c r="A18" i="10"/>
  <c r="A18" i="6" s="1"/>
  <c r="B17" i="7"/>
  <c r="A17" i="7"/>
  <c r="A18" i="1"/>
  <c r="A62" i="10"/>
  <c r="A62" i="6" s="1"/>
  <c r="B62" i="7"/>
  <c r="A62" i="7"/>
  <c r="A62" i="1"/>
  <c r="C33" i="7"/>
  <c r="F33" i="7" s="1"/>
  <c r="A33" i="10"/>
  <c r="A33" i="6" s="1"/>
  <c r="B33" i="7"/>
  <c r="A33" i="7"/>
  <c r="A33" i="1"/>
  <c r="A12" i="10"/>
  <c r="A12" i="6" s="1"/>
  <c r="B11" i="7"/>
  <c r="C11" i="7"/>
  <c r="F11" i="7" s="1"/>
  <c r="A11" i="7"/>
  <c r="A12" i="1"/>
  <c r="B42" i="7"/>
  <c r="A45" i="10"/>
  <c r="A45" i="6" s="1"/>
  <c r="B45" i="7"/>
  <c r="A45" i="7"/>
  <c r="A45" i="1"/>
  <c r="A44" i="10"/>
  <c r="A44" i="6" s="1"/>
  <c r="B44" i="7"/>
  <c r="C44" i="7"/>
  <c r="F44" i="7" s="1"/>
  <c r="A44" i="7"/>
  <c r="A44" i="1"/>
  <c r="B49" i="7"/>
  <c r="A49" i="10"/>
  <c r="A49" i="6" s="1"/>
  <c r="C49" i="7"/>
  <c r="F49" i="7" s="1"/>
  <c r="A49" i="7"/>
  <c r="A49" i="1"/>
  <c r="B55" i="7"/>
  <c r="A55" i="10"/>
  <c r="A55" i="6" s="1"/>
  <c r="C55" i="7"/>
  <c r="F55" i="7" s="1"/>
  <c r="A55" i="7"/>
  <c r="A55" i="1"/>
  <c r="B50" i="7"/>
  <c r="A59" i="10"/>
  <c r="A59" i="6" s="1"/>
  <c r="C59" i="7"/>
  <c r="F59" i="7" s="1"/>
  <c r="B59" i="7"/>
  <c r="A59" i="7"/>
  <c r="A59" i="1"/>
  <c r="A51" i="10"/>
  <c r="A51" i="6" s="1"/>
  <c r="B51" i="7"/>
  <c r="A51" i="7"/>
  <c r="A51" i="1"/>
  <c r="A9" i="10"/>
  <c r="A9" i="6" s="1"/>
  <c r="A8" i="7"/>
  <c r="A9" i="1"/>
  <c r="D20" i="7"/>
  <c r="A16" i="10"/>
  <c r="A16" i="6" s="1"/>
  <c r="B15" i="7"/>
  <c r="C15" i="7"/>
  <c r="F15" i="7" s="1"/>
  <c r="A15" i="7"/>
  <c r="A16" i="1"/>
  <c r="A38" i="10"/>
  <c r="A38" i="6" s="1"/>
  <c r="C38" i="7"/>
  <c r="F38" i="7" s="1"/>
  <c r="B38" i="7"/>
  <c r="A38" i="7"/>
  <c r="A38" i="1"/>
  <c r="B29" i="7"/>
  <c r="C29" i="7"/>
  <c r="A29" i="7"/>
  <c r="B24" i="7"/>
  <c r="A25" i="10"/>
  <c r="A25" i="6" s="1"/>
  <c r="C24" i="7"/>
  <c r="F24" i="7" s="1"/>
  <c r="A24" i="7"/>
  <c r="A25" i="1"/>
  <c r="A7" i="10"/>
  <c r="A7" i="6" s="1"/>
  <c r="C6" i="7"/>
  <c r="A6" i="7"/>
  <c r="A7" i="1"/>
  <c r="C26" i="7"/>
  <c r="F26" i="7" s="1"/>
  <c r="B26" i="7"/>
  <c r="A27" i="10"/>
  <c r="A27" i="6" s="1"/>
  <c r="A26" i="7"/>
  <c r="A27" i="1"/>
  <c r="C58" i="7"/>
  <c r="F58" i="7" s="1"/>
  <c r="B58" i="7"/>
  <c r="A58" i="10"/>
  <c r="A58" i="6" s="1"/>
  <c r="A58" i="7"/>
  <c r="A58" i="1"/>
  <c r="C25" i="7"/>
  <c r="F25" i="7" s="1"/>
  <c r="B25" i="7"/>
  <c r="A26" i="10"/>
  <c r="A26" i="6" s="1"/>
  <c r="A25" i="7"/>
  <c r="A26" i="1"/>
  <c r="B10" i="7"/>
  <c r="A11" i="10"/>
  <c r="A11" i="6" s="1"/>
  <c r="C10" i="7"/>
  <c r="F10" i="7" s="1"/>
  <c r="A10" i="7"/>
  <c r="A11" i="1"/>
  <c r="B63" i="7"/>
  <c r="B54" i="7"/>
  <c r="A54" i="10"/>
  <c r="A54" i="6" s="1"/>
  <c r="A54" i="7"/>
  <c r="A54" i="1"/>
  <c r="A8" i="10"/>
  <c r="A8" i="6" s="1"/>
  <c r="C7" i="7"/>
  <c r="A7" i="7"/>
  <c r="A8" i="1"/>
  <c r="B21" i="7"/>
  <c r="A22" i="10"/>
  <c r="A22" i="6" s="1"/>
  <c r="C21" i="7"/>
  <c r="F21" i="7" s="1"/>
  <c r="A21" i="7"/>
  <c r="A22" i="1"/>
  <c r="B53" i="7"/>
  <c r="A13" i="10"/>
  <c r="A13" i="6" s="1"/>
  <c r="B12" i="7"/>
  <c r="C12" i="7"/>
  <c r="F12" i="7" s="1"/>
  <c r="A12" i="7"/>
  <c r="A13" i="1"/>
  <c r="A41" i="10"/>
  <c r="A41" i="6" s="1"/>
  <c r="C41" i="7"/>
  <c r="F41" i="7" s="1"/>
  <c r="B41" i="7"/>
  <c r="A41" i="7"/>
  <c r="A41" i="1"/>
  <c r="D57" i="7"/>
  <c r="A37" i="10"/>
  <c r="A37" i="6" s="1"/>
  <c r="C37" i="7"/>
  <c r="F37" i="7" s="1"/>
  <c r="B37" i="7"/>
  <c r="A37" i="7"/>
  <c r="A37" i="1"/>
  <c r="A29" i="10"/>
  <c r="A29" i="6" s="1"/>
  <c r="C28" i="7"/>
  <c r="F28" i="7" s="1"/>
  <c r="B28" i="7"/>
  <c r="A28" i="7"/>
  <c r="A29" i="1"/>
  <c r="B22" i="7"/>
  <c r="A23" i="10"/>
  <c r="A23" i="6" s="1"/>
  <c r="C22" i="7"/>
  <c r="F22" i="7" s="1"/>
  <c r="A22" i="7"/>
  <c r="A23" i="1"/>
  <c r="C63" i="7"/>
  <c r="F63" i="7" s="1"/>
  <c r="C9" i="7"/>
  <c r="F9" i="7" s="1"/>
  <c r="B47" i="7"/>
  <c r="A47" i="10"/>
  <c r="A47" i="6" s="1"/>
  <c r="C47" i="7"/>
  <c r="F47" i="7" s="1"/>
  <c r="A47" i="7"/>
  <c r="A47" i="1"/>
  <c r="A61" i="10"/>
  <c r="A61" i="6" s="1"/>
  <c r="C61" i="7"/>
  <c r="F61" i="7" s="1"/>
  <c r="B61" i="7"/>
  <c r="A61" i="7"/>
  <c r="A61" i="1"/>
  <c r="D36" i="7"/>
  <c r="B27" i="7"/>
  <c r="A15" i="10"/>
  <c r="A15" i="6" s="1"/>
  <c r="B14" i="7"/>
  <c r="C14" i="7"/>
  <c r="F14" i="7" s="1"/>
  <c r="A14" i="7"/>
  <c r="A15" i="1"/>
  <c r="C53" i="7"/>
  <c r="F53" i="7" s="1"/>
  <c r="A40" i="10"/>
  <c r="A40" i="6" s="1"/>
  <c r="C40" i="7"/>
  <c r="F40" i="7" s="1"/>
  <c r="B40" i="7"/>
  <c r="A40" i="7"/>
  <c r="A40" i="1"/>
  <c r="B64" i="7"/>
  <c r="A64" i="10"/>
  <c r="A64" i="6" s="1"/>
  <c r="A64" i="7"/>
  <c r="A64" i="1"/>
  <c r="C4" i="7"/>
  <c r="A5" i="10"/>
  <c r="A5" i="6" s="1"/>
  <c r="A4" i="7"/>
  <c r="A5" i="1"/>
  <c r="B48" i="7"/>
  <c r="A48" i="10"/>
  <c r="A48" i="6" s="1"/>
  <c r="A48" i="7"/>
  <c r="A48" i="1"/>
  <c r="A43" i="10"/>
  <c r="A43" i="6" s="1"/>
  <c r="B43" i="7"/>
  <c r="A43" i="7"/>
  <c r="A43" i="1"/>
  <c r="C34" i="7"/>
  <c r="A34" i="10"/>
  <c r="A34" i="6" s="1"/>
  <c r="B34" i="7"/>
  <c r="A34" i="7"/>
  <c r="A34" i="1"/>
  <c r="B30" i="7"/>
  <c r="A30" i="10"/>
  <c r="A30" i="6" s="1"/>
  <c r="C30" i="7"/>
  <c r="F30" i="7" s="1"/>
  <c r="A30" i="7"/>
  <c r="A30" i="1"/>
  <c r="B18" i="7"/>
  <c r="C18" i="7"/>
  <c r="F18" i="7" s="1"/>
  <c r="A19" i="10"/>
  <c r="A19" i="6" s="1"/>
  <c r="A18" i="7"/>
  <c r="A19" i="1"/>
  <c r="B56" i="7"/>
  <c r="A56" i="10"/>
  <c r="A56" i="6" s="1"/>
  <c r="A56" i="7"/>
  <c r="A56" i="1"/>
  <c r="B9" i="7"/>
  <c r="A39" i="10"/>
  <c r="A39" i="6" s="1"/>
  <c r="B39" i="7"/>
  <c r="C39" i="7"/>
  <c r="F39" i="7" s="1"/>
  <c r="A39" i="7"/>
  <c r="A39" i="1"/>
  <c r="A46" i="10"/>
  <c r="A46" i="6" s="1"/>
  <c r="B46" i="7"/>
  <c r="A46" i="7"/>
  <c r="A46" i="1"/>
  <c r="C27" i="7"/>
  <c r="F27" i="7" s="1"/>
  <c r="C19" i="7"/>
  <c r="F19" i="7" s="1"/>
  <c r="BA51" i="12" l="1"/>
  <c r="AD51" i="12"/>
  <c r="BI23" i="12"/>
  <c r="AC23" i="12"/>
  <c r="BI40" i="12"/>
  <c r="AC40" i="12"/>
  <c r="BI27" i="12"/>
  <c r="AC27" i="12"/>
  <c r="BI46" i="12"/>
  <c r="AC46" i="12"/>
  <c r="BI32" i="12"/>
  <c r="AC32" i="12"/>
  <c r="BI15" i="12"/>
  <c r="AC15" i="12"/>
  <c r="BI21" i="12"/>
  <c r="AC21" i="12"/>
  <c r="BI24" i="12"/>
  <c r="AC24" i="12"/>
  <c r="BI10" i="12"/>
  <c r="AC10" i="12"/>
  <c r="BI38" i="12"/>
  <c r="AC38" i="12"/>
  <c r="BI22" i="12"/>
  <c r="AC22" i="12"/>
  <c r="BI33" i="12"/>
  <c r="AC33" i="12"/>
  <c r="BI26" i="12"/>
  <c r="AC26" i="12"/>
  <c r="BI45" i="12"/>
  <c r="AC45" i="12"/>
  <c r="BI44" i="12"/>
  <c r="AC44" i="12"/>
  <c r="BI37" i="12"/>
  <c r="AC37" i="12"/>
  <c r="BI41" i="12"/>
  <c r="AC41" i="12"/>
  <c r="BI14" i="12"/>
  <c r="AC14" i="12"/>
  <c r="BI20" i="12"/>
  <c r="AC20" i="12"/>
  <c r="BI35" i="12"/>
  <c r="AC35" i="12"/>
  <c r="BF40" i="12"/>
  <c r="AA40" i="12"/>
  <c r="BI16" i="12"/>
  <c r="AC16" i="12"/>
  <c r="BI34" i="12"/>
  <c r="AC34" i="12"/>
  <c r="BI19" i="12"/>
  <c r="AC19" i="12"/>
  <c r="BI29" i="12"/>
  <c r="AC29" i="12"/>
  <c r="BI36" i="12"/>
  <c r="AC36" i="12"/>
  <c r="BI63" i="12"/>
  <c r="BI53" i="12"/>
  <c r="BI48" i="12"/>
  <c r="BM66" i="12"/>
  <c r="BN66" i="12"/>
  <c r="BI62" i="12"/>
  <c r="BI54" i="12"/>
  <c r="BI64" i="12"/>
  <c r="BI52" i="12"/>
  <c r="BG39" i="12"/>
  <c r="Q48" i="12"/>
  <c r="Q24" i="12"/>
  <c r="Q38" i="12"/>
  <c r="Q64" i="12"/>
  <c r="Q32" i="12"/>
  <c r="Q41" i="12"/>
  <c r="Q37" i="12"/>
  <c r="Q54" i="12"/>
  <c r="Q46" i="12"/>
  <c r="Q23" i="12"/>
  <c r="Q27" i="12"/>
  <c r="Q51" i="12"/>
  <c r="Q26" i="12"/>
  <c r="Q21" i="12"/>
  <c r="Q36" i="12"/>
  <c r="Q35" i="12"/>
  <c r="Q33" i="12"/>
  <c r="Q62" i="12"/>
  <c r="Q52" i="12"/>
  <c r="Q44" i="12"/>
  <c r="Q20" i="12"/>
  <c r="Q29" i="12"/>
  <c r="Q16" i="12"/>
  <c r="Q63" i="12"/>
  <c r="Q34" i="12"/>
  <c r="Q14" i="12"/>
  <c r="Q19" i="12"/>
  <c r="Q45" i="12"/>
  <c r="Q22" i="12"/>
  <c r="Q40" i="12"/>
  <c r="Q10" i="12"/>
  <c r="Q53" i="12"/>
  <c r="Q15" i="12"/>
  <c r="R40" i="12"/>
  <c r="CD48" i="1"/>
  <c r="R39" i="12"/>
  <c r="CE48" i="1"/>
  <c r="BX48" i="1"/>
  <c r="BW48" i="1"/>
  <c r="BY48" i="1"/>
  <c r="CB48" i="1"/>
  <c r="BT48" i="1"/>
  <c r="CC48" i="1"/>
  <c r="BU48" i="1"/>
  <c r="G9" i="14"/>
  <c r="G10" i="14"/>
  <c r="BZ48" i="1"/>
  <c r="CA48" i="1"/>
  <c r="P39" i="12"/>
  <c r="C16" i="6"/>
  <c r="D16" i="6" s="1"/>
  <c r="E16" i="6" s="1"/>
  <c r="C54" i="6"/>
  <c r="D54" i="6" s="1"/>
  <c r="E54" i="6" s="1"/>
  <c r="C44" i="6"/>
  <c r="D44" i="6" s="1"/>
  <c r="E44" i="6" s="1"/>
  <c r="C19" i="6"/>
  <c r="D19" i="6" s="1"/>
  <c r="E19" i="6" s="1"/>
  <c r="C14" i="6"/>
  <c r="D14" i="6" s="1"/>
  <c r="E14" i="6" s="1"/>
  <c r="C53" i="6"/>
  <c r="D53" i="6" s="1"/>
  <c r="E53" i="6" s="1"/>
  <c r="C27" i="6"/>
  <c r="D27" i="6" s="1"/>
  <c r="E27" i="6" s="1"/>
  <c r="H59" i="12"/>
  <c r="AD59" i="12" s="1"/>
  <c r="C59" i="6"/>
  <c r="D59" i="6" s="1"/>
  <c r="E59" i="6" s="1"/>
  <c r="C20" i="6"/>
  <c r="D20" i="6" s="1"/>
  <c r="E20" i="6" s="1"/>
  <c r="C46" i="6"/>
  <c r="D46" i="6" s="1"/>
  <c r="E46" i="6" s="1"/>
  <c r="C35" i="6"/>
  <c r="D35" i="6" s="1"/>
  <c r="E35" i="6" s="1"/>
  <c r="C29" i="6"/>
  <c r="D29" i="6" s="1"/>
  <c r="E29" i="6" s="1"/>
  <c r="C36" i="6"/>
  <c r="D36" i="6" s="1"/>
  <c r="E36" i="6" s="1"/>
  <c r="C34" i="6"/>
  <c r="D34" i="6" s="1"/>
  <c r="E34" i="6" s="1"/>
  <c r="C52" i="6"/>
  <c r="D52" i="6" s="1"/>
  <c r="E52" i="6" s="1"/>
  <c r="C10" i="6"/>
  <c r="C63" i="6"/>
  <c r="D63" i="6" s="1"/>
  <c r="E63" i="6" s="1"/>
  <c r="C45" i="6"/>
  <c r="D45" i="6" s="1"/>
  <c r="E45" i="6" s="1"/>
  <c r="C38" i="6"/>
  <c r="D38" i="6" s="1"/>
  <c r="E38" i="6" s="1"/>
  <c r="C22" i="6"/>
  <c r="D22" i="6" s="1"/>
  <c r="E22" i="6" s="1"/>
  <c r="C33" i="6"/>
  <c r="D33" i="6" s="1"/>
  <c r="E33" i="6" s="1"/>
  <c r="C21" i="6"/>
  <c r="D21" i="6" s="1"/>
  <c r="E21" i="6" s="1"/>
  <c r="C64" i="6"/>
  <c r="D64" i="6" s="1"/>
  <c r="E64" i="6" s="1"/>
  <c r="C37" i="6"/>
  <c r="D37" i="6" s="1"/>
  <c r="E37" i="6" s="1"/>
  <c r="C23" i="6"/>
  <c r="D23" i="6" s="1"/>
  <c r="E23" i="6" s="1"/>
  <c r="C39" i="6"/>
  <c r="D39" i="6" s="1"/>
  <c r="E39" i="6" s="1"/>
  <c r="C62" i="6"/>
  <c r="D62" i="6" s="1"/>
  <c r="E62" i="6" s="1"/>
  <c r="C15" i="6"/>
  <c r="D15" i="6" s="1"/>
  <c r="E15" i="6" s="1"/>
  <c r="C41" i="6"/>
  <c r="D41" i="6" s="1"/>
  <c r="E41" i="6" s="1"/>
  <c r="C26" i="6"/>
  <c r="D26" i="6" s="1"/>
  <c r="E26" i="6" s="1"/>
  <c r="D18" i="7"/>
  <c r="D34" i="7"/>
  <c r="F34" i="7"/>
  <c r="D48" i="7"/>
  <c r="D64" i="7"/>
  <c r="D12" i="7"/>
  <c r="D63" i="7"/>
  <c r="D42" i="7"/>
  <c r="D33" i="7"/>
  <c r="D31" i="7"/>
  <c r="F5" i="7"/>
  <c r="D5" i="7"/>
  <c r="D46" i="7"/>
  <c r="D22" i="7"/>
  <c r="D37" i="7"/>
  <c r="D25" i="7"/>
  <c r="D29" i="7"/>
  <c r="D59" i="7"/>
  <c r="D55" i="7"/>
  <c r="D17" i="7"/>
  <c r="D21" i="7"/>
  <c r="F6" i="7"/>
  <c r="D6" i="7"/>
  <c r="D56" i="7"/>
  <c r="D47" i="7"/>
  <c r="D41" i="7"/>
  <c r="D53" i="7"/>
  <c r="D7" i="7"/>
  <c r="F7" i="7"/>
  <c r="D15" i="7"/>
  <c r="D44" i="7"/>
  <c r="D16" i="7"/>
  <c r="D23" i="7"/>
  <c r="D4" i="7"/>
  <c r="F4" i="7"/>
  <c r="D54" i="7"/>
  <c r="D14" i="7"/>
  <c r="D39" i="7"/>
  <c r="D30" i="7"/>
  <c r="D43" i="7"/>
  <c r="D40" i="7"/>
  <c r="D61" i="7"/>
  <c r="D26" i="7"/>
  <c r="D19" i="7"/>
  <c r="D38" i="7"/>
  <c r="D50" i="7"/>
  <c r="D11" i="7"/>
  <c r="D52" i="7"/>
  <c r="D9" i="7"/>
  <c r="D10" i="7"/>
  <c r="D24" i="7"/>
  <c r="D51" i="7"/>
  <c r="D62" i="7"/>
  <c r="D32" i="7"/>
  <c r="D60" i="7"/>
  <c r="D13" i="7"/>
  <c r="D27" i="7"/>
  <c r="D28" i="7"/>
  <c r="D58" i="7"/>
  <c r="D49" i="7"/>
  <c r="D45" i="7"/>
  <c r="BI39" i="12" l="1"/>
  <c r="AC39" i="12"/>
  <c r="BA59" i="12"/>
  <c r="Q39" i="12"/>
  <c r="Q59" i="12"/>
  <c r="D10" i="6"/>
  <c r="E10" i="6" s="1"/>
</calcChain>
</file>

<file path=xl/sharedStrings.xml><?xml version="1.0" encoding="utf-8"?>
<sst xmlns="http://schemas.openxmlformats.org/spreadsheetml/2006/main" count="1116" uniqueCount="353">
  <si>
    <t>GC-01 machine</t>
    <phoneticPr fontId="0" type="noConversion"/>
  </si>
  <si>
    <t>Chemicals</t>
    <phoneticPr fontId="0" type="noConversion"/>
  </si>
  <si>
    <t>MW (g/mol)</t>
    <phoneticPr fontId="0" type="noConversion"/>
  </si>
  <si>
    <t>carbon atoms</t>
    <phoneticPr fontId="0" type="noConversion"/>
  </si>
  <si>
    <t>degree of red e/mol</t>
    <phoneticPr fontId="0" type="noConversion"/>
  </si>
  <si>
    <t>degree of red e/mol C</t>
    <phoneticPr fontId="0" type="noConversion"/>
  </si>
  <si>
    <t>pKa</t>
    <phoneticPr fontId="0" type="noConversion"/>
  </si>
  <si>
    <t>Gf0 (KJ/mol)</t>
  </si>
  <si>
    <t>SCOD</t>
    <phoneticPr fontId="0" type="noConversion"/>
  </si>
  <si>
    <t>STD High</t>
    <phoneticPr fontId="0" type="noConversion"/>
  </si>
  <si>
    <t>STD Low</t>
    <phoneticPr fontId="0" type="noConversion"/>
  </si>
  <si>
    <t xml:space="preserve">Control </t>
    <phoneticPr fontId="0" type="noConversion"/>
  </si>
  <si>
    <t>LOQ</t>
    <phoneticPr fontId="0" type="noConversion"/>
  </si>
  <si>
    <t>Acetic acid</t>
    <phoneticPr fontId="0" type="noConversion"/>
  </si>
  <si>
    <t>Propionic acid</t>
    <phoneticPr fontId="0" type="noConversion"/>
  </si>
  <si>
    <t>i-Butyric acid</t>
    <phoneticPr fontId="0" type="noConversion"/>
  </si>
  <si>
    <t>n-Butyric acid</t>
    <phoneticPr fontId="0" type="noConversion"/>
  </si>
  <si>
    <t>i-Valeric acid</t>
    <phoneticPr fontId="0" type="noConversion"/>
  </si>
  <si>
    <t>n-Valeric acid</t>
    <phoneticPr fontId="0" type="noConversion"/>
  </si>
  <si>
    <t>i-Caproic acid</t>
    <phoneticPr fontId="0" type="noConversion"/>
  </si>
  <si>
    <t>n-Caproic acid</t>
    <phoneticPr fontId="0" type="noConversion"/>
  </si>
  <si>
    <t>Crotonic acid</t>
    <phoneticPr fontId="0" type="noConversion"/>
  </si>
  <si>
    <t>3-Hydroxybutyric acid</t>
    <phoneticPr fontId="0" type="noConversion"/>
  </si>
  <si>
    <t>Lactic acid</t>
    <phoneticPr fontId="0" type="noConversion"/>
  </si>
  <si>
    <t>Ethanol</t>
    <phoneticPr fontId="0" type="noConversion"/>
  </si>
  <si>
    <t>n-Butanol</t>
    <phoneticPr fontId="0" type="noConversion"/>
  </si>
  <si>
    <t>3-hydroxyvaleric acid</t>
  </si>
  <si>
    <t>H2</t>
  </si>
  <si>
    <t>CO2</t>
  </si>
  <si>
    <t>CH4</t>
  </si>
  <si>
    <t>Gas constant (R)</t>
  </si>
  <si>
    <t>J/K/mol</t>
  </si>
  <si>
    <t>Carbon dioxide</t>
  </si>
  <si>
    <t>Ka1</t>
  </si>
  <si>
    <t>pKa</t>
  </si>
  <si>
    <t>Ka2</t>
  </si>
  <si>
    <t>Kh</t>
  </si>
  <si>
    <t>atm/M</t>
  </si>
  <si>
    <t>Continuous Stirred Tank Reactor (CSTR)</t>
    <phoneticPr fontId="0" type="noConversion"/>
  </si>
  <si>
    <t>Phase</t>
    <phoneticPr fontId="0" type="noConversion"/>
  </si>
  <si>
    <t>Operation mode</t>
    <phoneticPr fontId="0" type="noConversion"/>
  </si>
  <si>
    <t>pH</t>
    <phoneticPr fontId="0" type="noConversion"/>
  </si>
  <si>
    <t>R1</t>
    <phoneticPr fontId="0" type="noConversion"/>
  </si>
  <si>
    <t>Duration</t>
    <phoneticPr fontId="0" type="noConversion"/>
  </si>
  <si>
    <t>Aim</t>
    <phoneticPr fontId="0" type="noConversion"/>
  </si>
  <si>
    <t>Temperature</t>
    <phoneticPr fontId="0" type="noConversion"/>
  </si>
  <si>
    <t>planned day</t>
    <phoneticPr fontId="0" type="noConversion"/>
  </si>
  <si>
    <t>Real date</t>
    <phoneticPr fontId="0" type="noConversion"/>
  </si>
  <si>
    <t>day</t>
    <phoneticPr fontId="0" type="noConversion"/>
  </si>
  <si>
    <t>Substrates</t>
    <phoneticPr fontId="0" type="noConversion"/>
  </si>
  <si>
    <t>Batch mode</t>
    <phoneticPr fontId="0" type="noConversion"/>
  </si>
  <si>
    <t>5.9 (controlled)</t>
    <phoneticPr fontId="0" type="noConversion"/>
  </si>
  <si>
    <t>Crotonate (5 g/L)</t>
    <phoneticPr fontId="0" type="noConversion"/>
  </si>
  <si>
    <t>1 week</t>
    <phoneticPr fontId="0" type="noConversion"/>
  </si>
  <si>
    <t>start-up reactor</t>
    <phoneticPr fontId="0" type="noConversion"/>
  </si>
  <si>
    <r>
      <t>35</t>
    </r>
    <r>
      <rPr>
        <sz val="14"/>
        <rFont val="等线"/>
      </rPr>
      <t>℃</t>
    </r>
  </si>
  <si>
    <t>1-7</t>
    <phoneticPr fontId="0" type="noConversion"/>
  </si>
  <si>
    <t>22/05/2024</t>
    <phoneticPr fontId="0" type="noConversion"/>
  </si>
  <si>
    <t>0-9</t>
    <phoneticPr fontId="0" type="noConversion"/>
  </si>
  <si>
    <t>continuous (HRT 3 days)</t>
    <phoneticPr fontId="0" type="noConversion"/>
  </si>
  <si>
    <t>3 weeks</t>
    <phoneticPr fontId="0" type="noConversion"/>
  </si>
  <si>
    <t xml:space="preserve">basic operations </t>
    <phoneticPr fontId="0" type="noConversion"/>
  </si>
  <si>
    <t>8-28</t>
    <phoneticPr fontId="0" type="noConversion"/>
  </si>
  <si>
    <t>31/05/2024</t>
    <phoneticPr fontId="0" type="noConversion"/>
  </si>
  <si>
    <t>10-30</t>
    <phoneticPr fontId="0" type="noConversion"/>
  </si>
  <si>
    <t>Crotonate+PHA hydrolysates (5+5 g/L)</t>
    <phoneticPr fontId="0" type="noConversion"/>
  </si>
  <si>
    <t>duplicate operation</t>
    <phoneticPr fontId="0" type="noConversion"/>
  </si>
  <si>
    <t>29-50</t>
    <phoneticPr fontId="0" type="noConversion"/>
  </si>
  <si>
    <t>20/06/2024</t>
    <phoneticPr fontId="0" type="noConversion"/>
  </si>
  <si>
    <t>30-54</t>
    <phoneticPr fontId="0" type="noConversion"/>
  </si>
  <si>
    <t>Crotonate+PHA hydrolysates+Na-Lactate (5+5+5 g/L)</t>
    <phoneticPr fontId="0" type="noConversion"/>
  </si>
  <si>
    <t>lactate-based chain elongation</t>
    <phoneticPr fontId="0" type="noConversion"/>
  </si>
  <si>
    <t>51-72</t>
    <phoneticPr fontId="0" type="noConversion"/>
  </si>
  <si>
    <t>15/7/2024</t>
    <phoneticPr fontId="0" type="noConversion"/>
  </si>
  <si>
    <t>54-75</t>
    <phoneticPr fontId="0" type="noConversion"/>
  </si>
  <si>
    <t>PHA&amp;PLA hydrolysates (2:1, in total 15 g/L)</t>
    <phoneticPr fontId="0" type="noConversion"/>
  </si>
  <si>
    <t>lactate-based chain elongation from hydrolysates</t>
    <phoneticPr fontId="0" type="noConversion"/>
  </si>
  <si>
    <t>73-94</t>
    <phoneticPr fontId="0" type="noConversion"/>
  </si>
  <si>
    <t>76-95</t>
    <phoneticPr fontId="0" type="noConversion"/>
  </si>
  <si>
    <t>2 weeks</t>
    <phoneticPr fontId="0" type="noConversion"/>
  </si>
  <si>
    <t>remove methane inhibitor (BrES)</t>
    <phoneticPr fontId="0" type="noConversion"/>
  </si>
  <si>
    <t>95-116</t>
    <phoneticPr fontId="0" type="noConversion"/>
  </si>
  <si>
    <t>25/08/2024</t>
    <phoneticPr fontId="0" type="noConversion"/>
  </si>
  <si>
    <t>96-113</t>
    <phoneticPr fontId="0" type="noConversion"/>
  </si>
  <si>
    <t>PHA&amp;PLA hydrolysates (2:1, in total 15 g/L) + ethanol (7 g/L)</t>
    <phoneticPr fontId="0" type="noConversion"/>
  </si>
  <si>
    <t>no BES, ethanol</t>
    <phoneticPr fontId="0" type="noConversion"/>
  </si>
  <si>
    <t>114-132</t>
    <phoneticPr fontId="0" type="noConversion"/>
  </si>
  <si>
    <t>Remark</t>
    <phoneticPr fontId="0" type="noConversion"/>
  </si>
  <si>
    <t>No.</t>
    <phoneticPr fontId="0" type="noConversion"/>
  </si>
  <si>
    <t>Date</t>
    <phoneticPr fontId="0" type="noConversion"/>
  </si>
  <si>
    <t>Time</t>
    <phoneticPr fontId="0" type="noConversion"/>
  </si>
  <si>
    <t>pH controller</t>
    <phoneticPr fontId="0" type="noConversion"/>
  </si>
  <si>
    <t>pH lab</t>
    <phoneticPr fontId="0" type="noConversion"/>
  </si>
  <si>
    <t>Gasflow (N mL)</t>
    <phoneticPr fontId="0" type="noConversion"/>
  </si>
  <si>
    <t>Flow time (min)</t>
    <phoneticPr fontId="0" type="noConversion"/>
  </si>
  <si>
    <t>water level (mL)</t>
    <phoneticPr fontId="0" type="noConversion"/>
  </si>
  <si>
    <r>
      <t>Temp (</t>
    </r>
    <r>
      <rPr>
        <b/>
        <sz val="14"/>
        <color theme="1"/>
        <rFont val="Segoe UI Symbol"/>
        <family val="1"/>
      </rPr>
      <t>℃</t>
    </r>
    <r>
      <rPr>
        <b/>
        <sz val="14"/>
        <color theme="1"/>
        <rFont val="Times New Roman"/>
        <family val="1"/>
      </rPr>
      <t>)</t>
    </r>
  </si>
  <si>
    <t>KOH (g)</t>
    <phoneticPr fontId="0" type="noConversion"/>
  </si>
  <si>
    <t>HCl (g)</t>
    <phoneticPr fontId="0" type="noConversion"/>
  </si>
  <si>
    <t>N2 flow (NmL)</t>
    <phoneticPr fontId="0" type="noConversion"/>
  </si>
  <si>
    <t>CO2 flow (Nml)</t>
    <phoneticPr fontId="0" type="noConversion"/>
  </si>
  <si>
    <t>Feed pump (rmp)</t>
    <phoneticPr fontId="0" type="noConversion"/>
  </si>
  <si>
    <t>Effluent pump (rpm)</t>
    <phoneticPr fontId="0" type="noConversion"/>
  </si>
  <si>
    <t>Influent (g)</t>
    <phoneticPr fontId="0" type="noConversion"/>
  </si>
  <si>
    <t>fresh influent</t>
  </si>
  <si>
    <t>Effluent (g)</t>
    <phoneticPr fontId="0" type="noConversion"/>
  </si>
  <si>
    <t>Fresh effluent bottle</t>
  </si>
  <si>
    <t>conductivity (ms/cm)</t>
    <phoneticPr fontId="0" type="noConversion"/>
  </si>
  <si>
    <t>Remarks</t>
    <phoneticPr fontId="0" type="noConversion"/>
  </si>
  <si>
    <t>Date+Time</t>
    <phoneticPr fontId="0" type="noConversion"/>
  </si>
  <si>
    <t>Day</t>
    <phoneticPr fontId="0" type="noConversion"/>
  </si>
  <si>
    <r>
      <t>At 16:30, I fill 1.5 L CA (5 g/L) into the bioreactor and then continuously pump 50 mL/min N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.</t>
    </r>
  </si>
  <si>
    <t>base consumption</t>
    <phoneticPr fontId="0" type="noConversion"/>
  </si>
  <si>
    <t>HRT</t>
    <phoneticPr fontId="0" type="noConversion"/>
  </si>
  <si>
    <t>gas flow</t>
    <phoneticPr fontId="0" type="noConversion"/>
  </si>
  <si>
    <t>conductivity</t>
    <phoneticPr fontId="0" type="noConversion"/>
  </si>
  <si>
    <t>Phase I</t>
    <phoneticPr fontId="0" type="noConversion"/>
  </si>
  <si>
    <t>I inoculated ~10 mL mixed inoculums, prepared in 20240518 and combined with old inoculum.</t>
  </si>
  <si>
    <t>crotonate batch</t>
    <phoneticPr fontId="0" type="noConversion"/>
  </si>
  <si>
    <t>At 10:50 of 05/29, I adjust the pH controller from 6.3 to 6.4; at 11:20 of 05/30, adjust pH controller from 6.4 to 6.5</t>
    <phoneticPr fontId="0" type="noConversion"/>
  </si>
  <si>
    <t xml:space="preserve">At 14:20, I take ~120 mL liquid from the R1 for the NGS. </t>
  </si>
  <si>
    <t>Phase II</t>
    <phoneticPr fontId="0" type="noConversion"/>
  </si>
  <si>
    <t>At 16:00, from the Batch mode to the Continuous mode, I pump the influent of around 120 mL into the R1, and then recalibrate the pH sensor, and then adjust the pH controller from 6.5 to 6.3, after that, I turn on the Influent &amp; Effluent pumps (1.59 RPM and 1.66 RPM).</t>
  </si>
  <si>
    <t>crotonate continuous</t>
    <phoneticPr fontId="0" type="noConversion"/>
  </si>
  <si>
    <t>At 15:35 of 06/03, I adjust the Influent pump from 1.59 to 1.62; At 09:30 of 06/04, I adjust the Inf pump from 1.62 to 1.66</t>
  </si>
  <si>
    <t xml:space="preserve">At 12:25 of 06/08, I mixed fresh medium with old medium for R1 (Influent: 1855.5=&gt; 6811.7 g; Effluent: 4387.4 g)), and I adjusted the Influent pump from 1.66 to 1.80, Effluent pump from 1.66 to 1.70. There was a white stuff growed in the R1. </t>
  </si>
  <si>
    <t>At 11:37, I adjusted pH controller from 6.3 to 6.5.</t>
  </si>
  <si>
    <t xml:space="preserve">At 11:17, I adjusted the Effluent pump from 1.73 RPM to 1.70 RPM; At 12:00, I recalibrated the pH sensor, and adjusted pH controller from 6.5 to 6.1. </t>
  </si>
  <si>
    <t xml:space="preserve">I adjusted the Effluent pump (1.70 =&gt; 1.80); 20240618 at 11:04, I adjusted the pH controller from 6.1 to 6.2 since the off-line pH was 5.84 at controlled pH 6.1. </t>
  </si>
  <si>
    <t xml:space="preserve">At 11:00, I adjusted the Effluent pump from 1.8 to 2.0. </t>
  </si>
  <si>
    <t>Phase III</t>
    <phoneticPr fontId="0" type="noConversion"/>
  </si>
  <si>
    <t xml:space="preserve">Fill in the Influent (PHA hydrolysates &amp; CA: 10661 g), and KOH (1539 g); I recalibrated the pH sensor for R1; the set point of pH sensor was adjusted from 6.3 to 6.2. </t>
  </si>
  <si>
    <t xml:space="preserve">At 09:50, I changed the Effluent bottle (10719 g =&gt; 644.8 g); At 10:15, I adjusted the pH controller for R1 from 6.2 to 6.1. </t>
  </si>
  <si>
    <t>At 09:47, I adjusted the pH controller from 6.1 to 6.2;</t>
  </si>
  <si>
    <t xml:space="preserve">At 10:03, I adjusted the pH controller from 6.2 to 6.3 since the measured pH was 5.83 at the controlled pH of 6.2; At 10:54, I and Julian changed the version of BearTree for the CSTR1; 20240627 at 17:00, I calibrated the pH sensor and adjusted the pH controller from 6.3 to 6.2; also I added some Demi water in the bubble tube. </t>
  </si>
  <si>
    <t xml:space="preserve">Roel adjusted the pH setpoint from 6.2 to 6.3 since the measured pH was 5.76; </t>
  </si>
  <si>
    <t>At 10:20, I adjusted influent pump fro 1.80 to 100 for around 3 minutes since the water level is lower than 1.5L; after operation the level was up to ~1.5L and then the Influent/Effluent pumps were both 1.80; 20240707, at 11:56, I mixed old medium with fresh one: influent 1558.9 g =&gt; 6558.3 g</t>
  </si>
  <si>
    <t xml:space="preserve">At 10:05, I recalibrated the pH sensor and then adjusted the pH setpoint from 6.3 to 6.1; At 14:54, I adjusted the pH setpoint from 6.1 to 6.3 since the measured pH was 5.74 at the controlled pH of 6.1; I forgot to open the valve after sampling for around 2 hours. </t>
  </si>
  <si>
    <t>empty effluent bottle =&gt; 638.1 g</t>
    <phoneticPr fontId="0" type="noConversion"/>
  </si>
  <si>
    <t>Phase IV</t>
    <phoneticPr fontId="0" type="noConversion"/>
  </si>
  <si>
    <t xml:space="preserve">At 15:00, I took ~120 mL liquid for storage with glycerol, and then another ~120 mL for NGS; I changed the fresh Influent (5631.9 g), pumped into the reactor after sampling, then it was 5519.6 g. 20240716, At 11:20, I and David used clamp to close the Acid pump. </t>
  </si>
  <si>
    <t xml:space="preserve">At 10:15, I adjusted the Influent pump to 2.0, and adjusted the position of Base tube and influent tube since they were bent. </t>
  </si>
  <si>
    <t>At 9:40, I replaced the influent tube (across the pump); at 9:56, I pumped the influent into the reactor and then weighed the influent again (3435.3 g)</t>
  </si>
  <si>
    <t xml:space="preserve">07/23/2024, at 11:58, influent 1037.2 g =&gt; 4620.6 g; effluent pump 1.80 =&gt; 1.60 RPM; at 13:30, I added a N2 flush tube for the influent bottle. </t>
  </si>
  <si>
    <t xml:space="preserve">KOH: 738 g =&gt; 1643 g; at 13:00, I adjusted the influent pump from 1.80 to 1.70 RPM. </t>
  </si>
  <si>
    <t xml:space="preserve">At 11:25, I adjusted the influent pump from 1.70 to 1.80 RPM. </t>
  </si>
  <si>
    <t xml:space="preserve">At 9:27, I adjusted the effluent pump from 1.60 to 1.50; at 15:00, mix old medium with fresh medium as the influent (1354.3 g =&gt; 6381.8 g; pump influent to the reactor until level 1.5L =&gt; 6099.4 g), the effluent 618.6 g =&gt; 743.5 g; 20240730, at 13:55, I adjusted the effluent pump from 1.50 to 1.55. </t>
  </si>
  <si>
    <t xml:space="preserve">At 13:21, I adjusted the effluent pump from 1.55 to 1.60. </t>
  </si>
  <si>
    <t>Phase V</t>
    <phoneticPr fontId="0" type="noConversion"/>
  </si>
  <si>
    <t xml:space="preserve">At 16:41, I took out ~120 mL liquid for NGS, and pump old medium into the reactor (2153.5g =&gt; 1931.7g), and then I changed the new medium =&gt; 5637.9g; </t>
    <phoneticPr fontId="0" type="noConversion"/>
  </si>
  <si>
    <t xml:space="preserve">20240808, at 14:00, I adjusted the effluent pump from 1.55 to 1.48; </t>
  </si>
  <si>
    <t xml:space="preserve">At 13:20, I adjusted the effluent pump from 1.48 to 1.40; </t>
  </si>
  <si>
    <t xml:space="preserve">At 09:11, I found the stir stopped and the water bath stopped, then I restarted them; at 13:12, I adjusted the influent pump from 1.80 to 1.78 RPM, the effluent pump from 1.40 to 1.42; 20240813, at 10:13, I adjusted the effluent pump from 1.42 to 1.40; </t>
  </si>
  <si>
    <t xml:space="preserve">At 13:28, the influent pump from 1.78 to 1.79 RPM; At 15:00, I mixed old medium with the fresh one, 1068.6g =&gt; 6083.3g; and I measured the gas pressure in the bioreactor: 101.7kPa; At 15:30, I replaced the influent tube; </t>
  </si>
  <si>
    <t xml:space="preserve">At17:22, I adjusted the pH controller from 6.3 to 5.9; </t>
  </si>
  <si>
    <t>At 13:24, the influent pump: 1.79=&gt; 1.90, the effluent pump: 1.40=&gt; 1.45; and I replaced a new effluent jerry can: 618.4 g</t>
  </si>
  <si>
    <t xml:space="preserve">At 08:10, I found the system stopped, so I restarted it; at 14:10, I adjusted the effluent pump from 1.45 to 1.40; </t>
  </si>
  <si>
    <t xml:space="preserve">At 13:58, I adjusted the effluent pump from 1.40 to 1.20; </t>
  </si>
  <si>
    <t>Phase VI</t>
    <phoneticPr fontId="0" type="noConversion"/>
  </si>
  <si>
    <r>
      <t>20240825, at 11:39, I stopped the influent/effluent pumps (not enough medium); at 13:06, Influent: 634.4g =&gt; 5636.5g; at 13:20, I took ~120 mL liquid for NGS, and then</t>
    </r>
    <r>
      <rPr>
        <sz val="14"/>
        <color rgb="FFFF0000"/>
        <rFont val="Times New Roman"/>
        <family val="1"/>
      </rPr>
      <t xml:space="preserve"> I pumped medium into the reactor until 1.5L</t>
    </r>
    <r>
      <rPr>
        <sz val="14"/>
        <color theme="1"/>
        <rFont val="Times New Roman"/>
        <family val="1"/>
      </rPr>
      <t xml:space="preserve">; the effluent pump 1.20=&gt; 1.30 RPM; 20240826, at 13:20, the effluent pump was adjusted from 1.30 to 1.40 RPM; </t>
    </r>
  </si>
  <si>
    <t xml:space="preserve">At 13:33, I adjusted the influent pump from 1.90 to 2.10 RPM; </t>
  </si>
  <si>
    <t xml:space="preserve">At 13:17, I adjusted the influent pump from 2.10 to 2.00; </t>
  </si>
  <si>
    <t>At 13:00, I adjusted the influent pump from 2.00 to 2.05 RPM; Influent: 1434.1g =&gt; 6433.3g</t>
  </si>
  <si>
    <t>20240903, at 14:21, I took ~120mL liquid for NGS, and then adjusted the influent pump from 2.05 to 2.10 RPM; 20240904, at 13:15, I Pump the influent (254.7g) into the bioreactor =&gt; 5297.9g</t>
  </si>
  <si>
    <t xml:space="preserve">At 11:38, I adjusted the influent pump from 2.10 to 2.20 RPM; </t>
  </si>
  <si>
    <t>replace with a new Effluent bottle: 615.8g</t>
    <phoneticPr fontId="0" type="noConversion"/>
  </si>
  <si>
    <t>Phase VII</t>
    <phoneticPr fontId="0" type="noConversion"/>
  </si>
  <si>
    <t xml:space="preserve">At 14:34, I took ~120+9 mL liquid for NGS, the level was ~1.5L, and I adjusted the influent pump from 2.20 to 2.10 RPM; I replaced the old medium with the fresh Influent: 5579.8g ( throwed away the old medium); </t>
  </si>
  <si>
    <t>PHA+PLA+Eth</t>
    <phoneticPr fontId="0" type="noConversion"/>
  </si>
  <si>
    <t xml:space="preserve">At 16:36, I adjusted the influent pump from 2.10 to 2.20 RPM; 20240917, at 10:15, the influent pump was adjusted from 2.20 to 2.15 RPM; </t>
  </si>
  <si>
    <t>At 14: 42, the influent pump was adjusted from 2.15 to 2.10 RPM; and I mixed Influent (mixed the fresh with the old one): 6471.0g</t>
  </si>
  <si>
    <t xml:space="preserve">At 14:16, I rebooted the R1 and adjusted the pH controller from 5.90 to 6.10; </t>
  </si>
  <si>
    <t xml:space="preserve">At 13:44, the influent pump: 2.10=&gt; 2.00 RPM; the effluent pump: 1.40=&gt; 1.50 RPM; at 13:56, the pH controller: 6.1=&gt;6.3; </t>
  </si>
  <si>
    <t xml:space="preserve">At 14:09, the effluent pump: 1.50=&gt;1.70 RPM; </t>
  </si>
  <si>
    <t>At 10:30, I took ~120mL liquid for NGS and turned off pumps; at 15:45, I turned off gas supply and the pH control</t>
  </si>
  <si>
    <t>fresh KOH</t>
  </si>
  <si>
    <t>Day</t>
  </si>
  <si>
    <t>mg/L</t>
  </si>
  <si>
    <t>Ethanol</t>
  </si>
  <si>
    <t>n-Butanol</t>
  </si>
  <si>
    <t>C2</t>
  </si>
  <si>
    <t>C3</t>
  </si>
  <si>
    <t>i-C4</t>
  </si>
  <si>
    <t>n-C4</t>
  </si>
  <si>
    <t>n-C5</t>
  </si>
  <si>
    <t>n-C6</t>
  </si>
  <si>
    <t>dilutor</t>
  </si>
  <si>
    <t>times</t>
  </si>
  <si>
    <t>n.a.</t>
  </si>
  <si>
    <t>Effluent (original data from GC-01)</t>
  </si>
  <si>
    <t>Real concentration</t>
  </si>
  <si>
    <t>3HB</t>
  </si>
  <si>
    <t>crotonate</t>
  </si>
  <si>
    <t>lactate</t>
  </si>
  <si>
    <t>Influent (original data form HPLC)</t>
  </si>
  <si>
    <t>mM C</t>
  </si>
  <si>
    <t>ethanol</t>
  </si>
  <si>
    <t>mM</t>
  </si>
  <si>
    <t>Total</t>
  </si>
  <si>
    <t>mmol e/L</t>
  </si>
  <si>
    <t>mg O2/L</t>
  </si>
  <si>
    <t>SCOD</t>
  </si>
  <si>
    <t>Lactate</t>
  </si>
  <si>
    <t>Carbon in</t>
  </si>
  <si>
    <t>Carbon out</t>
  </si>
  <si>
    <t>Carbon balance</t>
  </si>
  <si>
    <t>Time (day)</t>
  </si>
  <si>
    <t>Delta medium (mL/d)</t>
  </si>
  <si>
    <t>Delta KOH (mL/d)</t>
  </si>
  <si>
    <t>total (mL/d)</t>
  </si>
  <si>
    <t>HRT (d)</t>
  </si>
  <si>
    <t>Base consumption (mmol OH-/d)</t>
  </si>
  <si>
    <t>Density of KOH (aq)</t>
  </si>
  <si>
    <t>1M at 40 degrees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</si>
  <si>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</si>
  <si>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t>Gas Inlet</t>
  </si>
  <si>
    <t>Gas Outlet</t>
  </si>
  <si>
    <t xml:space="preserve">Dissolved CO2 </t>
  </si>
  <si>
    <t>Vm 25</t>
  </si>
  <si>
    <t>L/mol</t>
  </si>
  <si>
    <t>at 1 atm and 298K</t>
  </si>
  <si>
    <t>Date</t>
  </si>
  <si>
    <t>Time (days)</t>
  </si>
  <si>
    <t>mL/d CO2</t>
  </si>
  <si>
    <t>mmol/d CO2</t>
  </si>
  <si>
    <t>mL/d N2</t>
  </si>
  <si>
    <t>mmol/d N2</t>
  </si>
  <si>
    <t>Delta gas flow (mL)</t>
  </si>
  <si>
    <t>Gas flow (out) rate in mL/day</t>
  </si>
  <si>
    <t>H2%</t>
  </si>
  <si>
    <t>O2%</t>
  </si>
  <si>
    <t>N2%</t>
  </si>
  <si>
    <t>CO2%</t>
  </si>
  <si>
    <t>CH4%</t>
  </si>
  <si>
    <t>total%</t>
  </si>
  <si>
    <t>mmol/d</t>
  </si>
  <si>
    <t>pH</t>
  </si>
  <si>
    <t>H2 (mmol/d)</t>
  </si>
  <si>
    <t>O2 (mmol/d)</t>
  </si>
  <si>
    <t>N2 (mmol/d)</t>
  </si>
  <si>
    <t>CO2 (mmol/d)</t>
  </si>
  <si>
    <t>CH4 (mmol/d)</t>
  </si>
  <si>
    <t>Vm 35</t>
  </si>
  <si>
    <t>at 1 atm and 308K</t>
  </si>
  <si>
    <t>Days</t>
  </si>
  <si>
    <t>Yeast extract</t>
  </si>
  <si>
    <t>Inflow</t>
  </si>
  <si>
    <t>mmol C/day</t>
  </si>
  <si>
    <t>Outflow</t>
  </si>
  <si>
    <t>mmol/day</t>
  </si>
  <si>
    <t xml:space="preserve">1. check the gas counter: normal liters at room temperature; </t>
  </si>
  <si>
    <t>2. N2 correction</t>
  </si>
  <si>
    <t>3. the N2 % * flow rate= N2 flow rate, should be consistence</t>
  </si>
  <si>
    <t>provided N2&amp;CO2 mmol/d</t>
  </si>
  <si>
    <t>-</t>
  </si>
  <si>
    <t xml:space="preserve">Note: the value with shadows is calculated by the averaged numbers above and below. </t>
  </si>
  <si>
    <t>Outgoing gasses</t>
  </si>
  <si>
    <t>Day of Phase change</t>
  </si>
  <si>
    <t>%</t>
  </si>
  <si>
    <t>Electron in</t>
  </si>
  <si>
    <t>Electron out</t>
  </si>
  <si>
    <t>Electron balance</t>
  </si>
  <si>
    <t>mmol e/d</t>
  </si>
  <si>
    <t>mmol C/d</t>
  </si>
  <si>
    <t>mmol e/day</t>
  </si>
  <si>
    <t>g O2/g</t>
  </si>
  <si>
    <t>mg O2/d</t>
  </si>
  <si>
    <t>SCOD in</t>
  </si>
  <si>
    <t>SCOD out</t>
  </si>
  <si>
    <t>COD balance</t>
  </si>
  <si>
    <t>mmol C</t>
  </si>
  <si>
    <t>mmol CO2 produced/d</t>
  </si>
  <si>
    <t>used for the carbon balance figure</t>
  </si>
  <si>
    <t>substrates</t>
  </si>
  <si>
    <t>volume of medium</t>
  </si>
  <si>
    <t>initial pH</t>
  </si>
  <si>
    <t>adjusted pH</t>
  </si>
  <si>
    <t>Liter</t>
  </si>
  <si>
    <t>mL</t>
  </si>
  <si>
    <t>KOH (4 M)</t>
  </si>
  <si>
    <t>consumption</t>
  </si>
  <si>
    <t>mmol OH-/L medium</t>
  </si>
  <si>
    <t>crotonate + PHBV hydrolysates</t>
  </si>
  <si>
    <t>crotonate + PHBV hydrolysates +lactate</t>
  </si>
  <si>
    <t>PHBV &amp; PLA hydrolysates</t>
  </si>
  <si>
    <t>PHBV &amp; PLA hydrolysates + ethanol</t>
  </si>
  <si>
    <t>average initial pH</t>
  </si>
  <si>
    <t>time for influent</t>
  </si>
  <si>
    <t>Influent</t>
  </si>
  <si>
    <t>duplicate 1</t>
  </si>
  <si>
    <t>duplicate 2</t>
  </si>
  <si>
    <t>effluent</t>
  </si>
  <si>
    <t>5 times dilution</t>
  </si>
  <si>
    <t>real SCOD</t>
  </si>
  <si>
    <t>average</t>
  </si>
  <si>
    <t>PHA</t>
  </si>
  <si>
    <t>PLA</t>
  </si>
  <si>
    <t>TCOD_1</t>
  </si>
  <si>
    <t>TCOD_2</t>
  </si>
  <si>
    <t>COD</t>
  </si>
  <si>
    <t>g O2/kg</t>
  </si>
  <si>
    <t>PHBV (2% HV)</t>
  </si>
  <si>
    <t>g/L</t>
  </si>
  <si>
    <t>Influent concentration</t>
  </si>
  <si>
    <t>g O2/L</t>
  </si>
  <si>
    <t>PHA &amp; PLA hydrolysates</t>
  </si>
  <si>
    <t>Theoretical COD of PHA and PLA</t>
  </si>
  <si>
    <t>yield</t>
  </si>
  <si>
    <t>Total SCOD of effluent</t>
  </si>
  <si>
    <t>yield from hydrolysates to VFAs</t>
  </si>
  <si>
    <t>whole efficiency</t>
  </si>
  <si>
    <t>VFA</t>
  </si>
  <si>
    <t>std</t>
  </si>
  <si>
    <t>day</t>
  </si>
  <si>
    <t>Productivites</t>
  </si>
  <si>
    <t>3-HB</t>
  </si>
  <si>
    <t>yeast</t>
  </si>
  <si>
    <t>Phase</t>
  </si>
  <si>
    <t>II</t>
  </si>
  <si>
    <t>III</t>
  </si>
  <si>
    <t>IV</t>
  </si>
  <si>
    <t>V</t>
  </si>
  <si>
    <t>VI</t>
  </si>
  <si>
    <t>VII</t>
  </si>
  <si>
    <t>butanol</t>
  </si>
  <si>
    <t>average period (days)</t>
  </si>
  <si>
    <t>12-28</t>
  </si>
  <si>
    <t>35-54</t>
  </si>
  <si>
    <t>82-93</t>
  </si>
  <si>
    <t>96-112</t>
  </si>
  <si>
    <t>114-132</t>
  </si>
  <si>
    <t>mmol C/L/day</t>
  </si>
  <si>
    <t>Percentage (%)</t>
  </si>
  <si>
    <t>N2</t>
  </si>
  <si>
    <t>O2</t>
  </si>
  <si>
    <t>61-72</t>
  </si>
  <si>
    <t>crotonate (continuous)</t>
  </si>
  <si>
    <t>crotonate (batch)</t>
  </si>
  <si>
    <t>influent</t>
  </si>
  <si>
    <t>new influent</t>
  </si>
  <si>
    <t>g</t>
  </si>
  <si>
    <t>final pH</t>
  </si>
  <si>
    <t>amount of consumed medium</t>
  </si>
  <si>
    <t>days</t>
  </si>
  <si>
    <t>KOH</t>
  </si>
  <si>
    <t>KOH concentration in the medium</t>
  </si>
  <si>
    <t>mmol OH-/mL</t>
  </si>
  <si>
    <t>mmol OH-</t>
  </si>
  <si>
    <t>KOH consumption from the medium</t>
  </si>
  <si>
    <t>mmol OH-/day</t>
  </si>
  <si>
    <t>I</t>
  </si>
  <si>
    <t>average KOH consumption</t>
  </si>
  <si>
    <t>para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</si>
</sst>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_);[Red]\(0.00\)"/>
    <numFmt numFmtId="165" formatCode="0.000_);[Red]\(0.000\)"/>
    <numFmt numFmtId="166" formatCode="0_);[Red]\(0\)"/>
    <numFmt numFmtId="167" formatCode="0.0"/>
    <numFmt numFmtId="168" formatCode="0.0000"/>
    <numFmt numFmtId="169" formatCode="0.0%"/>
    <numFmt numFmtId="170" formatCode="0.00000000"/>
    <numFmt numFmtId="171" formatCode="0.000"/>
    <numFmt numFmtId="172" formatCode="[$-F800]dddd\,\ mmmm\ dd\,\ yyyy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等线"/>
    </font>
    <font>
      <b/>
      <sz val="1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Segoe UI Symbol"/>
      <family val="1"/>
    </font>
    <font>
      <vertAlign val="subscript"/>
      <sz val="14"/>
      <color theme="1"/>
      <name val="Times New Roman"/>
      <family val="1"/>
    </font>
    <font>
      <sz val="14"/>
      <color rgb="FFFF0000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474747"/>
      <name val="Arial"/>
      <family val="2"/>
    </font>
    <font>
      <b/>
      <sz val="11"/>
      <color rgb="FF1F1F1F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1" fontId="3" fillId="3" borderId="0" xfId="0" applyNumberFormat="1" applyFont="1" applyFill="1" applyAlignment="1">
      <alignment horizontal="center" vertical="center"/>
    </xf>
    <xf numFmtId="11" fontId="3" fillId="4" borderId="0" xfId="0" applyNumberFormat="1" applyFont="1" applyFill="1" applyAlignment="1">
      <alignment horizontal="center" vertical="center"/>
    </xf>
    <xf numFmtId="49" fontId="0" fillId="0" borderId="0" xfId="0" applyNumberFormat="1"/>
    <xf numFmtId="0" fontId="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4" fontId="6" fillId="0" borderId="3" xfId="0" quotePrefix="1" applyNumberFormat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3" xfId="0" quotePrefix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/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22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66" fontId="11" fillId="7" borderId="0" xfId="0" applyNumberFormat="1" applyFont="1" applyFill="1" applyAlignment="1">
      <alignment horizontal="center" vertical="center" wrapText="1"/>
    </xf>
    <xf numFmtId="22" fontId="11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4" fontId="10" fillId="0" borderId="0" xfId="0" applyNumberFormat="1" applyFont="1" applyAlignment="1">
      <alignment horizontal="center" vertical="center"/>
    </xf>
    <xf numFmtId="20" fontId="10" fillId="0" borderId="0" xfId="0" applyNumberFormat="1" applyFont="1" applyAlignment="1">
      <alignment horizontal="center" vertical="center"/>
    </xf>
    <xf numFmtId="166" fontId="10" fillId="7" borderId="0" xfId="0" applyNumberFormat="1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center" vertical="center"/>
    </xf>
    <xf numFmtId="14" fontId="10" fillId="6" borderId="0" xfId="0" applyNumberFormat="1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10" borderId="0" xfId="0" applyFont="1" applyFill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right" vertical="center"/>
    </xf>
    <xf numFmtId="0" fontId="0" fillId="4" borderId="8" xfId="0" applyFill="1" applyBorder="1"/>
    <xf numFmtId="0" fontId="0" fillId="4" borderId="0" xfId="0" applyFill="1"/>
    <xf numFmtId="0" fontId="0" fillId="4" borderId="0" xfId="0" applyFill="1" applyBorder="1"/>
    <xf numFmtId="0" fontId="0" fillId="11" borderId="8" xfId="0" applyFill="1" applyBorder="1"/>
    <xf numFmtId="0" fontId="0" fillId="11" borderId="0" xfId="0" applyFill="1"/>
    <xf numFmtId="0" fontId="0" fillId="11" borderId="0" xfId="0" applyFill="1" applyBorder="1"/>
    <xf numFmtId="0" fontId="0" fillId="5" borderId="0" xfId="0" applyFill="1"/>
    <xf numFmtId="0" fontId="0" fillId="5" borderId="0" xfId="0" applyFill="1" applyBorder="1"/>
    <xf numFmtId="0" fontId="0" fillId="12" borderId="0" xfId="0" applyFill="1"/>
    <xf numFmtId="0" fontId="0" fillId="12" borderId="0" xfId="0" applyFill="1" applyBorder="1"/>
    <xf numFmtId="0" fontId="0" fillId="8" borderId="0" xfId="0" applyFill="1"/>
    <xf numFmtId="0" fontId="0" fillId="8" borderId="0" xfId="0" applyFill="1" applyBorder="1"/>
    <xf numFmtId="0" fontId="0" fillId="5" borderId="8" xfId="0" applyFill="1" applyBorder="1"/>
    <xf numFmtId="0" fontId="0" fillId="12" borderId="8" xfId="0" applyFill="1" applyBorder="1"/>
    <xf numFmtId="0" fontId="0" fillId="8" borderId="9" xfId="0" applyFill="1" applyBorder="1"/>
    <xf numFmtId="0" fontId="0" fillId="8" borderId="8" xfId="0" applyFill="1" applyBorder="1"/>
    <xf numFmtId="1" fontId="0" fillId="0" borderId="0" xfId="0" applyNumberFormat="1" applyAlignment="1">
      <alignment horizontal="right" vertical="center"/>
    </xf>
    <xf numFmtId="0" fontId="0" fillId="13" borderId="0" xfId="0" applyFill="1"/>
    <xf numFmtId="167" fontId="0" fillId="0" borderId="0" xfId="0" applyNumberFormat="1"/>
    <xf numFmtId="0" fontId="0" fillId="0" borderId="0" xfId="0" applyAlignment="1">
      <alignment vertical="center" wrapText="1"/>
    </xf>
    <xf numFmtId="0" fontId="16" fillId="14" borderId="0" xfId="0" applyFont="1" applyFill="1" applyAlignment="1">
      <alignment horizontal="left" vertical="center"/>
    </xf>
    <xf numFmtId="0" fontId="0" fillId="14" borderId="0" xfId="0" applyFill="1"/>
    <xf numFmtId="0" fontId="16" fillId="15" borderId="0" xfId="0" applyFont="1" applyFill="1" applyAlignment="1">
      <alignment horizontal="left" vertical="center"/>
    </xf>
    <xf numFmtId="2" fontId="0" fillId="15" borderId="0" xfId="0" applyNumberFormat="1" applyFill="1"/>
    <xf numFmtId="0" fontId="0" fillId="15" borderId="0" xfId="0" applyFill="1"/>
    <xf numFmtId="0" fontId="0" fillId="10" borderId="0" xfId="0" applyFill="1"/>
    <xf numFmtId="0" fontId="0" fillId="16" borderId="0" xfId="0" applyFill="1"/>
    <xf numFmtId="0" fontId="0" fillId="0" borderId="0" xfId="0" applyAlignment="1">
      <alignment horizontal="left" vertical="center" wrapText="1"/>
    </xf>
    <xf numFmtId="0" fontId="0" fillId="14" borderId="0" xfId="0" applyFill="1" applyAlignment="1">
      <alignment horizontal="left" vertical="center" wrapText="1"/>
    </xf>
    <xf numFmtId="0" fontId="0" fillId="15" borderId="0" xfId="0" applyFill="1" applyAlignment="1">
      <alignment horizontal="left" vertical="center" wrapText="1"/>
    </xf>
    <xf numFmtId="2" fontId="0" fillId="15" borderId="0" xfId="0" applyNumberFormat="1" applyFill="1" applyAlignment="1">
      <alignment horizontal="left" vertical="center" wrapText="1"/>
    </xf>
    <xf numFmtId="0" fontId="0" fillId="10" borderId="0" xfId="0" applyFill="1" applyAlignment="1">
      <alignment horizontal="left" vertical="center" wrapText="1"/>
    </xf>
    <xf numFmtId="0" fontId="0" fillId="16" borderId="0" xfId="0" applyFill="1" applyAlignment="1">
      <alignment horizontal="left" vertical="center" wrapText="1"/>
    </xf>
    <xf numFmtId="0" fontId="0" fillId="11" borderId="0" xfId="0" applyFill="1" applyAlignment="1">
      <alignment horizontal="left" vertical="center" wrapText="1"/>
    </xf>
    <xf numFmtId="22" fontId="0" fillId="0" borderId="0" xfId="0" applyNumberFormat="1"/>
    <xf numFmtId="22" fontId="0" fillId="17" borderId="0" xfId="0" applyNumberFormat="1" applyFill="1"/>
    <xf numFmtId="2" fontId="0" fillId="17" borderId="0" xfId="0" applyNumberFormat="1" applyFill="1"/>
    <xf numFmtId="0" fontId="0" fillId="17" borderId="0" xfId="0" applyFill="1"/>
    <xf numFmtId="0" fontId="0" fillId="18" borderId="0" xfId="0" applyFill="1"/>
    <xf numFmtId="0" fontId="0" fillId="18" borderId="0" xfId="0" applyFill="1" applyAlignment="1">
      <alignment horizontal="left" vertical="center" wrapText="1"/>
    </xf>
    <xf numFmtId="0" fontId="0" fillId="11" borderId="0" xfId="0" applyFill="1" applyAlignment="1">
      <alignment horizontal="center" vertical="center"/>
    </xf>
    <xf numFmtId="0" fontId="0" fillId="11" borderId="0" xfId="0" applyFill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/>
    </xf>
    <xf numFmtId="2" fontId="0" fillId="4" borderId="0" xfId="0" applyNumberFormat="1" applyFill="1"/>
    <xf numFmtId="2" fontId="0" fillId="5" borderId="0" xfId="0" applyNumberFormat="1" applyFill="1"/>
    <xf numFmtId="2" fontId="0" fillId="12" borderId="0" xfId="0" applyNumberFormat="1" applyFill="1"/>
    <xf numFmtId="0" fontId="0" fillId="11" borderId="10" xfId="0" applyFill="1" applyBorder="1"/>
    <xf numFmtId="0" fontId="17" fillId="14" borderId="0" xfId="0" applyFont="1" applyFill="1"/>
    <xf numFmtId="0" fontId="17" fillId="14" borderId="10" xfId="0" applyFont="1" applyFill="1" applyBorder="1"/>
    <xf numFmtId="0" fontId="0" fillId="19" borderId="0" xfId="0" applyFill="1"/>
    <xf numFmtId="2" fontId="0" fillId="19" borderId="0" xfId="0" applyNumberFormat="1" applyFill="1"/>
    <xf numFmtId="0" fontId="0" fillId="3" borderId="0" xfId="0" applyFill="1"/>
    <xf numFmtId="2" fontId="0" fillId="3" borderId="0" xfId="0" applyNumberFormat="1" applyFill="1"/>
    <xf numFmtId="2" fontId="0" fillId="8" borderId="0" xfId="0" applyNumberFormat="1" applyFill="1"/>
    <xf numFmtId="0" fontId="0" fillId="3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2" fontId="0" fillId="8" borderId="0" xfId="0" applyNumberFormat="1" applyFill="1" applyAlignment="1">
      <alignment horizontal="center" vertical="center"/>
    </xf>
    <xf numFmtId="2" fontId="0" fillId="5" borderId="0" xfId="0" applyNumberFormat="1" applyFill="1" applyAlignment="1">
      <alignment horizontal="right" vertical="center"/>
    </xf>
    <xf numFmtId="0" fontId="0" fillId="0" borderId="0" xfId="0" applyFill="1"/>
    <xf numFmtId="22" fontId="0" fillId="0" borderId="0" xfId="0" applyNumberFormat="1" applyFill="1"/>
    <xf numFmtId="2" fontId="0" fillId="13" borderId="0" xfId="0" applyNumberFormat="1" applyFill="1"/>
    <xf numFmtId="2" fontId="0" fillId="20" borderId="0" xfId="0" applyNumberFormat="1" applyFill="1"/>
    <xf numFmtId="1" fontId="0" fillId="20" borderId="0" xfId="0" applyNumberFormat="1" applyFill="1"/>
    <xf numFmtId="167" fontId="0" fillId="20" borderId="0" xfId="0" applyNumberFormat="1" applyFill="1"/>
    <xf numFmtId="2" fontId="0" fillId="11" borderId="10" xfId="0" applyNumberFormat="1" applyFill="1" applyBorder="1"/>
    <xf numFmtId="2" fontId="0" fillId="11" borderId="11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2" fontId="0" fillId="6" borderId="0" xfId="0" applyNumberFormat="1" applyFill="1"/>
    <xf numFmtId="0" fontId="17" fillId="4" borderId="10" xfId="0" applyFont="1" applyFill="1" applyBorder="1"/>
    <xf numFmtId="0" fontId="0" fillId="18" borderId="10" xfId="0" applyFill="1" applyBorder="1"/>
    <xf numFmtId="2" fontId="0" fillId="18" borderId="10" xfId="0" applyNumberFormat="1" applyFill="1" applyBorder="1"/>
    <xf numFmtId="0" fontId="17" fillId="4" borderId="12" xfId="0" applyFont="1" applyFill="1" applyBorder="1"/>
    <xf numFmtId="0" fontId="0" fillId="18" borderId="12" xfId="0" applyFill="1" applyBorder="1"/>
    <xf numFmtId="2" fontId="0" fillId="18" borderId="12" xfId="0" applyNumberFormat="1" applyFill="1" applyBorder="1"/>
    <xf numFmtId="0" fontId="17" fillId="22" borderId="8" xfId="0" applyFont="1" applyFill="1" applyBorder="1"/>
    <xf numFmtId="0" fontId="17" fillId="21" borderId="8" xfId="0" applyFont="1" applyFill="1" applyBorder="1"/>
    <xf numFmtId="0" fontId="0" fillId="23" borderId="8" xfId="0" applyFill="1" applyBorder="1"/>
    <xf numFmtId="0" fontId="0" fillId="24" borderId="8" xfId="0" applyFill="1" applyBorder="1"/>
    <xf numFmtId="9" fontId="0" fillId="0" borderId="0" xfId="1" applyFont="1"/>
    <xf numFmtId="2" fontId="0" fillId="25" borderId="0" xfId="0" applyNumberFormat="1" applyFill="1"/>
    <xf numFmtId="2" fontId="0" fillId="18" borderId="0" xfId="0" applyNumberFormat="1" applyFill="1"/>
    <xf numFmtId="2" fontId="0" fillId="26" borderId="0" xfId="0" applyNumberFormat="1" applyFill="1"/>
    <xf numFmtId="2" fontId="0" fillId="24" borderId="0" xfId="0" applyNumberFormat="1" applyFill="1"/>
    <xf numFmtId="0" fontId="0" fillId="2" borderId="0" xfId="0" applyFill="1"/>
    <xf numFmtId="0" fontId="0" fillId="27" borderId="0" xfId="0" applyFill="1"/>
    <xf numFmtId="2" fontId="0" fillId="23" borderId="0" xfId="0" applyNumberFormat="1" applyFill="1"/>
    <xf numFmtId="168" fontId="0" fillId="8" borderId="0" xfId="0" applyNumberFormat="1" applyFill="1"/>
    <xf numFmtId="14" fontId="0" fillId="0" borderId="0" xfId="0" applyNumberFormat="1"/>
    <xf numFmtId="0" fontId="0" fillId="23" borderId="0" xfId="0" applyFill="1"/>
    <xf numFmtId="0" fontId="0" fillId="26" borderId="0" xfId="0" applyFill="1"/>
    <xf numFmtId="0" fontId="0" fillId="24" borderId="0" xfId="0" applyFill="1"/>
    <xf numFmtId="9" fontId="0" fillId="0" borderId="0" xfId="1" applyFont="1" applyFill="1"/>
    <xf numFmtId="0" fontId="3" fillId="0" borderId="0" xfId="0" applyFont="1" applyFill="1" applyAlignment="1">
      <alignment horizontal="center" vertical="center"/>
    </xf>
    <xf numFmtId="0" fontId="19" fillId="0" borderId="0" xfId="0" applyFont="1" applyFill="1"/>
    <xf numFmtId="169" fontId="3" fillId="0" borderId="0" xfId="1" applyNumberFormat="1" applyFont="1" applyFill="1" applyAlignment="1">
      <alignment horizontal="center" vertical="center"/>
    </xf>
    <xf numFmtId="0" fontId="20" fillId="0" borderId="0" xfId="0" applyFont="1" applyFill="1"/>
    <xf numFmtId="0" fontId="3" fillId="0" borderId="0" xfId="0" applyFont="1" applyAlignment="1">
      <alignment horizontal="left" vertical="center"/>
    </xf>
    <xf numFmtId="2" fontId="3" fillId="0" borderId="0" xfId="1" applyNumberFormat="1" applyFont="1" applyFill="1" applyAlignment="1">
      <alignment horizontal="center" vertical="center"/>
    </xf>
    <xf numFmtId="164" fontId="10" fillId="6" borderId="0" xfId="0" applyNumberFormat="1" applyFont="1" applyFill="1" applyAlignment="1">
      <alignment horizontal="center" vertical="center"/>
    </xf>
    <xf numFmtId="14" fontId="0" fillId="6" borderId="0" xfId="0" applyNumberFormat="1" applyFill="1"/>
    <xf numFmtId="171" fontId="0" fillId="0" borderId="0" xfId="0" applyNumberFormat="1"/>
    <xf numFmtId="0" fontId="0" fillId="21" borderId="0" xfId="0" applyFill="1"/>
    <xf numFmtId="169" fontId="0" fillId="0" borderId="0" xfId="1" applyNumberFormat="1" applyFont="1"/>
    <xf numFmtId="170" fontId="0" fillId="26" borderId="0" xfId="0" applyNumberFormat="1" applyFill="1"/>
    <xf numFmtId="2" fontId="0" fillId="0" borderId="0" xfId="0" applyNumberFormat="1" applyFill="1"/>
    <xf numFmtId="2" fontId="0" fillId="25" borderId="1" xfId="0" applyNumberFormat="1" applyFill="1" applyBorder="1"/>
    <xf numFmtId="0" fontId="0" fillId="26" borderId="1" xfId="0" applyFill="1" applyBorder="1"/>
    <xf numFmtId="0" fontId="0" fillId="24" borderId="1" xfId="0" applyFill="1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1" xfId="0" applyBorder="1"/>
    <xf numFmtId="0" fontId="0" fillId="2" borderId="1" xfId="0" applyFill="1" applyBorder="1"/>
    <xf numFmtId="0" fontId="0" fillId="18" borderId="1" xfId="0" applyFill="1" applyBorder="1"/>
    <xf numFmtId="0" fontId="0" fillId="27" borderId="1" xfId="0" applyFill="1" applyBorder="1"/>
    <xf numFmtId="2" fontId="0" fillId="2" borderId="1" xfId="0" applyNumberFormat="1" applyFill="1" applyBorder="1"/>
    <xf numFmtId="2" fontId="0" fillId="26" borderId="1" xfId="0" applyNumberFormat="1" applyFill="1" applyBorder="1"/>
    <xf numFmtId="2" fontId="0" fillId="24" borderId="1" xfId="0" applyNumberFormat="1" applyFill="1" applyBorder="1"/>
    <xf numFmtId="0" fontId="0" fillId="15" borderId="1" xfId="0" applyFill="1" applyBorder="1"/>
    <xf numFmtId="2" fontId="0" fillId="23" borderId="1" xfId="0" applyNumberFormat="1" applyFill="1" applyBorder="1"/>
    <xf numFmtId="0" fontId="0" fillId="3" borderId="1" xfId="0" applyFill="1" applyBorder="1"/>
    <xf numFmtId="2" fontId="0" fillId="3" borderId="1" xfId="0" applyNumberFormat="1" applyFill="1" applyBorder="1"/>
    <xf numFmtId="2" fontId="0" fillId="28" borderId="0" xfId="0" applyNumberFormat="1" applyFill="1"/>
    <xf numFmtId="2" fontId="0" fillId="21" borderId="0" xfId="0" applyNumberFormat="1" applyFill="1"/>
    <xf numFmtId="2" fontId="0" fillId="21" borderId="1" xfId="0" applyNumberFormat="1" applyFill="1" applyBorder="1"/>
    <xf numFmtId="2" fontId="0" fillId="22" borderId="0" xfId="0" applyNumberFormat="1" applyFill="1"/>
    <xf numFmtId="2" fontId="0" fillId="29" borderId="0" xfId="0" applyNumberFormat="1" applyFill="1"/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7" fontId="0" fillId="0" borderId="0" xfId="0" applyNumberFormat="1" applyFill="1"/>
    <xf numFmtId="167" fontId="0" fillId="0" borderId="1" xfId="0" applyNumberFormat="1" applyFill="1" applyBorder="1"/>
    <xf numFmtId="0" fontId="0" fillId="28" borderId="0" xfId="0" applyFill="1"/>
    <xf numFmtId="167" fontId="0" fillId="0" borderId="0" xfId="0" applyNumberFormat="1" applyFill="1" applyBorder="1"/>
    <xf numFmtId="2" fontId="0" fillId="10" borderId="0" xfId="0" applyNumberFormat="1" applyFill="1"/>
    <xf numFmtId="2" fontId="0" fillId="16" borderId="0" xfId="0" applyNumberFormat="1" applyFill="1"/>
    <xf numFmtId="2" fontId="0" fillId="14" borderId="0" xfId="0" applyNumberFormat="1" applyFill="1"/>
    <xf numFmtId="14" fontId="23" fillId="0" borderId="0" xfId="0" applyNumberFormat="1" applyFont="1" applyFill="1" applyAlignment="1">
      <alignment horizontal="center" vertical="center"/>
    </xf>
    <xf numFmtId="20" fontId="23" fillId="0" borderId="0" xfId="0" applyNumberFormat="1" applyFont="1" applyFill="1" applyAlignment="1">
      <alignment horizontal="center" vertical="center"/>
    </xf>
    <xf numFmtId="22" fontId="23" fillId="0" borderId="0" xfId="0" applyNumberFormat="1" applyFont="1" applyFill="1" applyAlignment="1">
      <alignment horizontal="center" vertical="center"/>
    </xf>
    <xf numFmtId="2" fontId="22" fillId="0" borderId="0" xfId="0" applyNumberFormat="1" applyFont="1" applyFill="1" applyAlignment="1">
      <alignment horizontal="center" vertical="center"/>
    </xf>
    <xf numFmtId="1" fontId="22" fillId="0" borderId="0" xfId="0" applyNumberFormat="1" applyFont="1" applyFill="1" applyAlignment="1">
      <alignment horizontal="center" vertical="center"/>
    </xf>
    <xf numFmtId="20" fontId="23" fillId="0" borderId="0" xfId="0" applyNumberFormat="1" applyFont="1" applyAlignment="1">
      <alignment horizontal="center" vertical="center"/>
    </xf>
    <xf numFmtId="14" fontId="23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72" fontId="23" fillId="0" borderId="0" xfId="0" applyNumberFormat="1" applyFont="1"/>
    <xf numFmtId="0" fontId="23" fillId="0" borderId="0" xfId="0" applyFont="1"/>
    <xf numFmtId="22" fontId="23" fillId="0" borderId="0" xfId="0" applyNumberFormat="1" applyFont="1"/>
    <xf numFmtId="1" fontId="22" fillId="0" borderId="0" xfId="0" applyNumberFormat="1" applyFont="1" applyAlignment="1">
      <alignment horizontal="left"/>
    </xf>
    <xf numFmtId="2" fontId="22" fillId="0" borderId="0" xfId="0" applyNumberFormat="1" applyFont="1" applyAlignment="1">
      <alignment horizontal="left"/>
    </xf>
    <xf numFmtId="0" fontId="22" fillId="0" borderId="0" xfId="0" applyFont="1"/>
    <xf numFmtId="2" fontId="22" fillId="0" borderId="0" xfId="0" applyNumberFormat="1" applyFont="1"/>
    <xf numFmtId="1" fontId="22" fillId="0" borderId="0" xfId="0" applyNumberFormat="1" applyFont="1"/>
    <xf numFmtId="1" fontId="22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4" fontId="22" fillId="0" borderId="0" xfId="0" applyNumberFormat="1" applyFont="1"/>
    <xf numFmtId="0" fontId="22" fillId="23" borderId="0" xfId="0" applyFont="1" applyFill="1"/>
    <xf numFmtId="0" fontId="22" fillId="26" borderId="0" xfId="0" applyFont="1" applyFill="1"/>
    <xf numFmtId="0" fontId="22" fillId="24" borderId="0" xfId="0" applyFont="1" applyFill="1"/>
    <xf numFmtId="22" fontId="23" fillId="15" borderId="0" xfId="0" applyNumberFormat="1" applyFont="1" applyFill="1" applyAlignment="1">
      <alignment horizontal="center" vertical="center"/>
    </xf>
    <xf numFmtId="22" fontId="23" fillId="10" borderId="0" xfId="0" applyNumberFormat="1" applyFont="1" applyFill="1" applyAlignment="1">
      <alignment horizontal="center" vertical="center"/>
    </xf>
    <xf numFmtId="22" fontId="23" fillId="12" borderId="0" xfId="0" applyNumberFormat="1" applyFont="1" applyFill="1" applyAlignment="1">
      <alignment horizontal="center" vertical="center"/>
    </xf>
    <xf numFmtId="22" fontId="23" fillId="23" borderId="0" xfId="0" applyNumberFormat="1" applyFont="1" applyFill="1" applyAlignment="1">
      <alignment horizontal="center" vertical="center"/>
    </xf>
    <xf numFmtId="2" fontId="23" fillId="0" borderId="0" xfId="0" applyNumberFormat="1" applyFont="1" applyFill="1"/>
    <xf numFmtId="2" fontId="23" fillId="0" borderId="0" xfId="0" applyNumberFormat="1" applyFont="1" applyFill="1" applyAlignment="1">
      <alignment horizontal="center" vertical="center"/>
    </xf>
    <xf numFmtId="22" fontId="23" fillId="21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22" fontId="23" fillId="3" borderId="0" xfId="0" applyNumberFormat="1" applyFont="1" applyFill="1" applyAlignment="1">
      <alignment horizontal="center" vertical="center"/>
    </xf>
    <xf numFmtId="22" fontId="23" fillId="19" borderId="0" xfId="0" applyNumberFormat="1" applyFont="1" applyFill="1" applyAlignment="1">
      <alignment horizontal="center" vertical="center"/>
    </xf>
    <xf numFmtId="2" fontId="22" fillId="12" borderId="0" xfId="0" applyNumberFormat="1" applyFont="1" applyFill="1" applyAlignment="1">
      <alignment horizontal="center" vertical="center"/>
    </xf>
    <xf numFmtId="2" fontId="22" fillId="15" borderId="0" xfId="0" applyNumberFormat="1" applyFont="1" applyFill="1" applyAlignment="1">
      <alignment horizontal="center" vertical="center"/>
    </xf>
    <xf numFmtId="2" fontId="22" fillId="23" borderId="0" xfId="0" applyNumberFormat="1" applyFont="1" applyFill="1" applyAlignment="1">
      <alignment horizontal="center" vertical="center"/>
    </xf>
    <xf numFmtId="2" fontId="22" fillId="21" borderId="0" xfId="0" applyNumberFormat="1" applyFont="1" applyFill="1" applyAlignment="1">
      <alignment horizontal="center" vertical="center"/>
    </xf>
    <xf numFmtId="2" fontId="22" fillId="19" borderId="0" xfId="0" applyNumberFormat="1" applyFont="1" applyFill="1" applyAlignment="1">
      <alignment horizontal="center" vertical="center"/>
    </xf>
    <xf numFmtId="2" fontId="22" fillId="3" borderId="0" xfId="0" applyNumberFormat="1" applyFont="1" applyFill="1" applyAlignment="1">
      <alignment horizontal="center" vertical="center"/>
    </xf>
    <xf numFmtId="2" fontId="22" fillId="10" borderId="0" xfId="0" applyNumberFormat="1" applyFont="1" applyFill="1" applyAlignment="1">
      <alignment horizontal="center" vertical="center"/>
    </xf>
    <xf numFmtId="22" fontId="23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left" vertical="center"/>
    </xf>
    <xf numFmtId="167" fontId="2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6" xfId="0" applyNumberForma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Base consumption (mmol OH</a:t>
            </a:r>
            <a:r>
              <a:rPr lang="en-US" baseline="300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-</a:t>
            </a: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/d)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HRT!$F$2</c:f>
              <c:strCache>
                <c:ptCount val="1"/>
                <c:pt idx="0">
                  <c:v>Base consumption (mmol OH-/d)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HRT!$A$3:$A$64</c:f>
              <c:numCache>
                <c:formatCode>0.00</c:formatCode>
                <c:ptCount val="62"/>
                <c:pt idx="0">
                  <c:v>0</c:v>
                </c:pt>
                <c:pt idx="1">
                  <c:v>1.9791666666642413</c:v>
                </c:pt>
                <c:pt idx="2">
                  <c:v>5.0034722222262644</c:v>
                </c:pt>
                <c:pt idx="3">
                  <c:v>7.015972222223354</c:v>
                </c:pt>
                <c:pt idx="4">
                  <c:v>9.0881944444481633</c:v>
                </c:pt>
                <c:pt idx="5">
                  <c:v>9.2743055555547471</c:v>
                </c:pt>
                <c:pt idx="6">
                  <c:v>11.993055555554747</c:v>
                </c:pt>
                <c:pt idx="7">
                  <c:v>14.045138888890506</c:v>
                </c:pt>
                <c:pt idx="8">
                  <c:v>16.038194444445253</c:v>
                </c:pt>
                <c:pt idx="9">
                  <c:v>18.993055555554747</c:v>
                </c:pt>
                <c:pt idx="10">
                  <c:v>21.045138888890506</c:v>
                </c:pt>
                <c:pt idx="11">
                  <c:v>23.013888888890506</c:v>
                </c:pt>
                <c:pt idx="12">
                  <c:v>26.003472222226264</c:v>
                </c:pt>
                <c:pt idx="13">
                  <c:v>28.02986111111386</c:v>
                </c:pt>
                <c:pt idx="14">
                  <c:v>29.149305555554747</c:v>
                </c:pt>
                <c:pt idx="15">
                  <c:v>29.990972222221899</c:v>
                </c:pt>
                <c:pt idx="16">
                  <c:v>32.990972222221899</c:v>
                </c:pt>
                <c:pt idx="17">
                  <c:v>35.002083333332848</c:v>
                </c:pt>
                <c:pt idx="18">
                  <c:v>37.01875000000291</c:v>
                </c:pt>
                <c:pt idx="19">
                  <c:v>40.011111111110949</c:v>
                </c:pt>
                <c:pt idx="20">
                  <c:v>42.029166666667152</c:v>
                </c:pt>
                <c:pt idx="21">
                  <c:v>44.022222222221899</c:v>
                </c:pt>
                <c:pt idx="22">
                  <c:v>46.997222222220444</c:v>
                </c:pt>
                <c:pt idx="23">
                  <c:v>48.994444444448163</c:v>
                </c:pt>
                <c:pt idx="24">
                  <c:v>50.971527777779556</c:v>
                </c:pt>
                <c:pt idx="25">
                  <c:v>53.979166666664241</c:v>
                </c:pt>
                <c:pt idx="26">
                  <c:v>54.225694444445253</c:v>
                </c:pt>
                <c:pt idx="27">
                  <c:v>56.019444444442343</c:v>
                </c:pt>
                <c:pt idx="28">
                  <c:v>57.995833333334303</c:v>
                </c:pt>
                <c:pt idx="29">
                  <c:v>61.00138888888614</c:v>
                </c:pt>
                <c:pt idx="30">
                  <c:v>62.996527777781012</c:v>
                </c:pt>
                <c:pt idx="31">
                  <c:v>65.071527777778101</c:v>
                </c:pt>
                <c:pt idx="32">
                  <c:v>67.984722222223354</c:v>
                </c:pt>
                <c:pt idx="33">
                  <c:v>70.167361111110949</c:v>
                </c:pt>
                <c:pt idx="34">
                  <c:v>72.156944444446708</c:v>
                </c:pt>
                <c:pt idx="35">
                  <c:v>75.146527777775191</c:v>
                </c:pt>
                <c:pt idx="36">
                  <c:v>77.093055555553292</c:v>
                </c:pt>
                <c:pt idx="37">
                  <c:v>79.150000000001455</c:v>
                </c:pt>
                <c:pt idx="38">
                  <c:v>82.143055555556202</c:v>
                </c:pt>
                <c:pt idx="39">
                  <c:v>84.15763888888614</c:v>
                </c:pt>
                <c:pt idx="40">
                  <c:v>86.27986111111386</c:v>
                </c:pt>
                <c:pt idx="41">
                  <c:v>89.148611111115315</c:v>
                </c:pt>
                <c:pt idx="42">
                  <c:v>91.1875</c:v>
                </c:pt>
                <c:pt idx="43">
                  <c:v>93.170833333337214</c:v>
                </c:pt>
                <c:pt idx="44">
                  <c:v>96.150694444448163</c:v>
                </c:pt>
                <c:pt idx="45">
                  <c:v>98.159722222226264</c:v>
                </c:pt>
                <c:pt idx="46">
                  <c:v>100.14930555555475</c:v>
                </c:pt>
                <c:pt idx="47">
                  <c:v>103.13680555555766</c:v>
                </c:pt>
                <c:pt idx="48">
                  <c:v>105.14166666667006</c:v>
                </c:pt>
                <c:pt idx="49">
                  <c:v>107.07916666667006</c:v>
                </c:pt>
                <c:pt idx="50">
                  <c:v>110.29652777777665</c:v>
                </c:pt>
                <c:pt idx="51">
                  <c:v>112.15347222222044</c:v>
                </c:pt>
                <c:pt idx="52">
                  <c:v>113.1916666666657</c:v>
                </c:pt>
                <c:pt idx="53">
                  <c:v>114.2770833333343</c:v>
                </c:pt>
                <c:pt idx="54">
                  <c:v>117.28819444444525</c:v>
                </c:pt>
                <c:pt idx="55">
                  <c:v>119.18194444444816</c:v>
                </c:pt>
                <c:pt idx="56">
                  <c:v>121.20138888889051</c:v>
                </c:pt>
                <c:pt idx="57">
                  <c:v>124.17569444444234</c:v>
                </c:pt>
                <c:pt idx="58">
                  <c:v>126.16180555555911</c:v>
                </c:pt>
                <c:pt idx="59">
                  <c:v>128.18472222222044</c:v>
                </c:pt>
                <c:pt idx="60">
                  <c:v>131.17083333333721</c:v>
                </c:pt>
                <c:pt idx="61">
                  <c:v>132.02500000000146</c:v>
                </c:pt>
              </c:numCache>
            </c:numRef>
          </c:xVal>
          <c:yVal>
            <c:numRef>
              <c:f>HRT!$F$3:$F$64</c:f>
              <c:numCache>
                <c:formatCode>0.0</c:formatCode>
                <c:ptCount val="62"/>
                <c:pt idx="0">
                  <c:v>0</c:v>
                </c:pt>
                <c:pt idx="1">
                  <c:v>18.011148901191895</c:v>
                </c:pt>
                <c:pt idx="2">
                  <c:v>229.84376582786965</c:v>
                </c:pt>
                <c:pt idx="3">
                  <c:v>53.138482783031293</c:v>
                </c:pt>
                <c:pt idx="4">
                  <c:v>43.005843136955349</c:v>
                </c:pt>
                <c:pt idx="5">
                  <c:v>0</c:v>
                </c:pt>
                <c:pt idx="6">
                  <c:v>295.0101975191609</c:v>
                </c:pt>
                <c:pt idx="7">
                  <c:v>156.34042954804056</c:v>
                </c:pt>
                <c:pt idx="8">
                  <c:v>232.51326368941204</c:v>
                </c:pt>
                <c:pt idx="9">
                  <c:v>247.30937122242605</c:v>
                </c:pt>
                <c:pt idx="10">
                  <c:v>191.08274722538295</c:v>
                </c:pt>
                <c:pt idx="11">
                  <c:v>253.49024379424196</c:v>
                </c:pt>
                <c:pt idx="12">
                  <c:v>351.75083481175943</c:v>
                </c:pt>
                <c:pt idx="13">
                  <c:v>211.09708444838969</c:v>
                </c:pt>
                <c:pt idx="14">
                  <c:v>191.06119491996444</c:v>
                </c:pt>
                <c:pt idx="15">
                  <c:v>360.00006776451113</c:v>
                </c:pt>
                <c:pt idx="16">
                  <c:v>475.29420711420369</c:v>
                </c:pt>
                <c:pt idx="17">
                  <c:v>584.92698693202976</c:v>
                </c:pt>
                <c:pt idx="18">
                  <c:v>592.15373324252539</c:v>
                </c:pt>
                <c:pt idx="19">
                  <c:v>518.20194593288954</c:v>
                </c:pt>
                <c:pt idx="20">
                  <c:v>476.92976873522838</c:v>
                </c:pt>
                <c:pt idx="21">
                  <c:v>518.68343438407305</c:v>
                </c:pt>
                <c:pt idx="22">
                  <c:v>497.26158643485127</c:v>
                </c:pt>
                <c:pt idx="23">
                  <c:v>642.53959570755831</c:v>
                </c:pt>
                <c:pt idx="24">
                  <c:v>450.7531995818789</c:v>
                </c:pt>
                <c:pt idx="25">
                  <c:v>485.9392170641043</c:v>
                </c:pt>
                <c:pt idx="26">
                  <c:v>506.08791630087978</c:v>
                </c:pt>
                <c:pt idx="27">
                  <c:v>168.91989242413737</c:v>
                </c:pt>
                <c:pt idx="28">
                  <c:v>144.29170588405961</c:v>
                </c:pt>
                <c:pt idx="29">
                  <c:v>189.76626383880779</c:v>
                </c:pt>
                <c:pt idx="30">
                  <c:v>116.13523612710425</c:v>
                </c:pt>
                <c:pt idx="31">
                  <c:v>231.9206673271355</c:v>
                </c:pt>
                <c:pt idx="32">
                  <c:v>189.66448217138407</c:v>
                </c:pt>
                <c:pt idx="33">
                  <c:v>212.31723410395719</c:v>
                </c:pt>
                <c:pt idx="34">
                  <c:v>215.00219630689602</c:v>
                </c:pt>
                <c:pt idx="35">
                  <c:v>202.70387090896486</c:v>
                </c:pt>
                <c:pt idx="36">
                  <c:v>54.93946596681284</c:v>
                </c:pt>
                <c:pt idx="37">
                  <c:v>0</c:v>
                </c:pt>
                <c:pt idx="38">
                  <c:v>35.729773342237486</c:v>
                </c:pt>
                <c:pt idx="39">
                  <c:v>8.8472551479525183</c:v>
                </c:pt>
                <c:pt idx="40">
                  <c:v>0</c:v>
                </c:pt>
                <c:pt idx="41">
                  <c:v>37.277977028546083</c:v>
                </c:pt>
                <c:pt idx="42">
                  <c:v>0</c:v>
                </c:pt>
                <c:pt idx="43">
                  <c:v>0</c:v>
                </c:pt>
                <c:pt idx="44">
                  <c:v>35.887980215569875</c:v>
                </c:pt>
                <c:pt idx="45">
                  <c:v>0</c:v>
                </c:pt>
                <c:pt idx="46">
                  <c:v>17.916849692306858</c:v>
                </c:pt>
                <c:pt idx="47">
                  <c:v>0</c:v>
                </c:pt>
                <c:pt idx="48">
                  <c:v>0</c:v>
                </c:pt>
                <c:pt idx="49">
                  <c:v>27.597728155018277</c:v>
                </c:pt>
                <c:pt idx="50">
                  <c:v>0</c:v>
                </c:pt>
                <c:pt idx="51">
                  <c:v>0</c:v>
                </c:pt>
                <c:pt idx="52">
                  <c:v>103.00690508687764</c:v>
                </c:pt>
                <c:pt idx="53">
                  <c:v>0</c:v>
                </c:pt>
                <c:pt idx="54">
                  <c:v>0</c:v>
                </c:pt>
                <c:pt idx="55">
                  <c:v>18.823532954989041</c:v>
                </c:pt>
                <c:pt idx="56">
                  <c:v>26.4778753619605</c:v>
                </c:pt>
                <c:pt idx="57">
                  <c:v>0</c:v>
                </c:pt>
                <c:pt idx="58">
                  <c:v>53.844518568029088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C-4729-AF07-B98D00388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086088"/>
        <c:axId val="962694552"/>
      </c:scatterChart>
      <c:valAx>
        <c:axId val="949086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2694552"/>
        <c:crosses val="autoZero"/>
        <c:crossBetween val="midCat"/>
        <c:majorUnit val="14"/>
      </c:valAx>
      <c:valAx>
        <c:axId val="96269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mmol</a:t>
                </a:r>
                <a:r>
                  <a:rPr lang="en-US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OH/day</a:t>
                </a:r>
                <a:endParaRPr lang="en-US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49086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HRT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HRT!$A$9:$A$64</c:f>
              <c:numCache>
                <c:formatCode>0.00</c:formatCode>
                <c:ptCount val="56"/>
                <c:pt idx="0">
                  <c:v>11.993055555554747</c:v>
                </c:pt>
                <c:pt idx="1">
                  <c:v>14.045138888890506</c:v>
                </c:pt>
                <c:pt idx="2">
                  <c:v>16.038194444445253</c:v>
                </c:pt>
                <c:pt idx="3">
                  <c:v>18.993055555554747</c:v>
                </c:pt>
                <c:pt idx="4">
                  <c:v>21.045138888890506</c:v>
                </c:pt>
                <c:pt idx="5">
                  <c:v>23.013888888890506</c:v>
                </c:pt>
                <c:pt idx="6">
                  <c:v>26.003472222226264</c:v>
                </c:pt>
                <c:pt idx="7">
                  <c:v>28.02986111111386</c:v>
                </c:pt>
                <c:pt idx="8">
                  <c:v>29.149305555554747</c:v>
                </c:pt>
                <c:pt idx="9">
                  <c:v>29.990972222221899</c:v>
                </c:pt>
                <c:pt idx="10">
                  <c:v>32.990972222221899</c:v>
                </c:pt>
                <c:pt idx="11">
                  <c:v>35.002083333332848</c:v>
                </c:pt>
                <c:pt idx="12">
                  <c:v>37.01875000000291</c:v>
                </c:pt>
                <c:pt idx="13">
                  <c:v>40.011111111110949</c:v>
                </c:pt>
                <c:pt idx="14">
                  <c:v>42.029166666667152</c:v>
                </c:pt>
                <c:pt idx="15">
                  <c:v>44.022222222221899</c:v>
                </c:pt>
                <c:pt idx="16">
                  <c:v>46.997222222220444</c:v>
                </c:pt>
                <c:pt idx="17">
                  <c:v>48.994444444448163</c:v>
                </c:pt>
                <c:pt idx="18">
                  <c:v>50.971527777779556</c:v>
                </c:pt>
                <c:pt idx="19">
                  <c:v>53.979166666664241</c:v>
                </c:pt>
                <c:pt idx="20">
                  <c:v>54.225694444445253</c:v>
                </c:pt>
                <c:pt idx="21">
                  <c:v>56.019444444442343</c:v>
                </c:pt>
                <c:pt idx="22">
                  <c:v>57.995833333334303</c:v>
                </c:pt>
                <c:pt idx="23">
                  <c:v>61.00138888888614</c:v>
                </c:pt>
                <c:pt idx="24">
                  <c:v>62.996527777781012</c:v>
                </c:pt>
                <c:pt idx="25">
                  <c:v>65.071527777778101</c:v>
                </c:pt>
                <c:pt idx="26">
                  <c:v>67.984722222223354</c:v>
                </c:pt>
                <c:pt idx="27">
                  <c:v>70.167361111110949</c:v>
                </c:pt>
                <c:pt idx="28">
                  <c:v>72.156944444446708</c:v>
                </c:pt>
                <c:pt idx="29">
                  <c:v>75.146527777775191</c:v>
                </c:pt>
                <c:pt idx="30">
                  <c:v>77.093055555553292</c:v>
                </c:pt>
                <c:pt idx="31">
                  <c:v>79.150000000001455</c:v>
                </c:pt>
                <c:pt idx="32">
                  <c:v>82.143055555556202</c:v>
                </c:pt>
                <c:pt idx="33">
                  <c:v>84.15763888888614</c:v>
                </c:pt>
                <c:pt idx="34">
                  <c:v>86.27986111111386</c:v>
                </c:pt>
                <c:pt idx="35">
                  <c:v>89.148611111115315</c:v>
                </c:pt>
                <c:pt idx="36">
                  <c:v>91.1875</c:v>
                </c:pt>
                <c:pt idx="37">
                  <c:v>93.170833333337214</c:v>
                </c:pt>
                <c:pt idx="38">
                  <c:v>96.150694444448163</c:v>
                </c:pt>
                <c:pt idx="39">
                  <c:v>98.159722222226264</c:v>
                </c:pt>
                <c:pt idx="40">
                  <c:v>100.14930555555475</c:v>
                </c:pt>
                <c:pt idx="41">
                  <c:v>103.13680555555766</c:v>
                </c:pt>
                <c:pt idx="42">
                  <c:v>105.14166666667006</c:v>
                </c:pt>
                <c:pt idx="43">
                  <c:v>107.07916666667006</c:v>
                </c:pt>
                <c:pt idx="44">
                  <c:v>110.29652777777665</c:v>
                </c:pt>
                <c:pt idx="45">
                  <c:v>112.15347222222044</c:v>
                </c:pt>
                <c:pt idx="46">
                  <c:v>113.1916666666657</c:v>
                </c:pt>
                <c:pt idx="47">
                  <c:v>114.2770833333343</c:v>
                </c:pt>
                <c:pt idx="48">
                  <c:v>117.28819444444525</c:v>
                </c:pt>
                <c:pt idx="49">
                  <c:v>119.18194444444816</c:v>
                </c:pt>
                <c:pt idx="50">
                  <c:v>121.20138888889051</c:v>
                </c:pt>
                <c:pt idx="51">
                  <c:v>124.17569444444234</c:v>
                </c:pt>
                <c:pt idx="52">
                  <c:v>126.16180555555911</c:v>
                </c:pt>
                <c:pt idx="53">
                  <c:v>128.18472222222044</c:v>
                </c:pt>
                <c:pt idx="54">
                  <c:v>131.17083333333721</c:v>
                </c:pt>
                <c:pt idx="55">
                  <c:v>132.02500000000146</c:v>
                </c:pt>
              </c:numCache>
            </c:numRef>
          </c:xVal>
          <c:yVal>
            <c:numRef>
              <c:f>HRT!$E$9:$E$64</c:f>
              <c:numCache>
                <c:formatCode>0.00</c:formatCode>
                <c:ptCount val="56"/>
                <c:pt idx="0">
                  <c:v>3.0830496803554386</c:v>
                </c:pt>
                <c:pt idx="1">
                  <c:v>3.1280957350209868</c:v>
                </c:pt>
                <c:pt idx="2">
                  <c:v>2.9887875070346559</c:v>
                </c:pt>
                <c:pt idx="3">
                  <c:v>2.9957269892819789</c:v>
                </c:pt>
                <c:pt idx="4">
                  <c:v>2.735924424292921</c:v>
                </c:pt>
                <c:pt idx="5">
                  <c:v>2.9032023245552652</c:v>
                </c:pt>
                <c:pt idx="6">
                  <c:v>2.9886623119605522</c:v>
                </c:pt>
                <c:pt idx="7">
                  <c:v>3.2540578933201756</c:v>
                </c:pt>
                <c:pt idx="8">
                  <c:v>3.3045617041990885</c:v>
                </c:pt>
                <c:pt idx="9">
                  <c:v>2.9379987877226785</c:v>
                </c:pt>
                <c:pt idx="10">
                  <c:v>2.845967163181566</c:v>
                </c:pt>
                <c:pt idx="11">
                  <c:v>2.822308519498725</c:v>
                </c:pt>
                <c:pt idx="12">
                  <c:v>2.7222705458726733</c:v>
                </c:pt>
                <c:pt idx="13">
                  <c:v>2.7158851105211324</c:v>
                </c:pt>
                <c:pt idx="14">
                  <c:v>2.8357238939614899</c:v>
                </c:pt>
                <c:pt idx="15">
                  <c:v>2.7732094697758596</c:v>
                </c:pt>
                <c:pt idx="16">
                  <c:v>2.5884803423620584</c:v>
                </c:pt>
                <c:pt idx="17">
                  <c:v>2.6629689157711236</c:v>
                </c:pt>
                <c:pt idx="18">
                  <c:v>2.8949081951442084</c:v>
                </c:pt>
                <c:pt idx="19">
                  <c:v>2.959324148243061</c:v>
                </c:pt>
                <c:pt idx="20">
                  <c:v>3.0217003380060672</c:v>
                </c:pt>
                <c:pt idx="21">
                  <c:v>3.0764574952495929</c:v>
                </c:pt>
                <c:pt idx="22">
                  <c:v>2.775261769689561</c:v>
                </c:pt>
                <c:pt idx="23">
                  <c:v>2.4501826973818752</c:v>
                </c:pt>
                <c:pt idx="24">
                  <c:v>2.7872074477426443</c:v>
                </c:pt>
                <c:pt idx="25">
                  <c:v>2.7053771869502126</c:v>
                </c:pt>
                <c:pt idx="26">
                  <c:v>2.7007916548071691</c:v>
                </c:pt>
                <c:pt idx="27">
                  <c:v>2.2941692227542618</c:v>
                </c:pt>
                <c:pt idx="28">
                  <c:v>2.7423636361307997</c:v>
                </c:pt>
                <c:pt idx="29">
                  <c:v>2.8874823862281942</c:v>
                </c:pt>
                <c:pt idx="30">
                  <c:v>2.6773554512327764</c:v>
                </c:pt>
                <c:pt idx="31">
                  <c:v>3.0490384833876889</c:v>
                </c:pt>
                <c:pt idx="32">
                  <c:v>2.6633922780795314</c:v>
                </c:pt>
                <c:pt idx="33">
                  <c:v>3.0791309315876059</c:v>
                </c:pt>
                <c:pt idx="34">
                  <c:v>2.8387746755716856</c:v>
                </c:pt>
                <c:pt idx="35">
                  <c:v>3.0633264026686384</c:v>
                </c:pt>
                <c:pt idx="36">
                  <c:v>2.5618950111637426</c:v>
                </c:pt>
                <c:pt idx="37">
                  <c:v>2.7595574107256007</c:v>
                </c:pt>
                <c:pt idx="38">
                  <c:v>2.6877745630283068</c:v>
                </c:pt>
                <c:pt idx="39">
                  <c:v>3.2650641983616291</c:v>
                </c:pt>
                <c:pt idx="40">
                  <c:v>2.5307770388489743</c:v>
                </c:pt>
                <c:pt idx="41">
                  <c:v>3.0461513203403099</c:v>
                </c:pt>
                <c:pt idx="42">
                  <c:v>2.8823546923667478</c:v>
                </c:pt>
                <c:pt idx="43">
                  <c:v>3.0980268397265629</c:v>
                </c:pt>
                <c:pt idx="44">
                  <c:v>2.6136890644319268</c:v>
                </c:pt>
                <c:pt idx="45">
                  <c:v>2.6972176495261904</c:v>
                </c:pt>
                <c:pt idx="46">
                  <c:v>2.5273879165627644</c:v>
                </c:pt>
                <c:pt idx="47">
                  <c:v>3.2109903268276749</c:v>
                </c:pt>
                <c:pt idx="48">
                  <c:v>3.0995516515690533</c:v>
                </c:pt>
                <c:pt idx="49">
                  <c:v>2.8118737934409599</c:v>
                </c:pt>
                <c:pt idx="50">
                  <c:v>2.8347895586833554</c:v>
                </c:pt>
                <c:pt idx="51">
                  <c:v>3.3398055224106535</c:v>
                </c:pt>
                <c:pt idx="52">
                  <c:v>2.9142606391424049</c:v>
                </c:pt>
                <c:pt idx="53">
                  <c:v>3.4478269103213663</c:v>
                </c:pt>
                <c:pt idx="54">
                  <c:v>3.2996744613590629</c:v>
                </c:pt>
                <c:pt idx="55">
                  <c:v>3.1410184978738531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D6-4910-AC6B-DB7E866D1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309816"/>
        <c:axId val="1051307296"/>
      </c:scatterChart>
      <c:valAx>
        <c:axId val="1051309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51307296"/>
        <c:crosses val="autoZero"/>
        <c:crossBetween val="midCat"/>
        <c:majorUnit val="14"/>
      </c:valAx>
      <c:valAx>
        <c:axId val="1051307296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513098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CO2 flow 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Gas!$C$4:$C$64</c:f>
              <c:numCache>
                <c:formatCode>0.00</c:formatCode>
                <c:ptCount val="61"/>
                <c:pt idx="0">
                  <c:v>1.9791666666642413</c:v>
                </c:pt>
                <c:pt idx="1">
                  <c:v>5.0034722222262644</c:v>
                </c:pt>
                <c:pt idx="2">
                  <c:v>7.015972222223354</c:v>
                </c:pt>
                <c:pt idx="3">
                  <c:v>9.0881944444481633</c:v>
                </c:pt>
                <c:pt idx="4">
                  <c:v>9.2743055555547471</c:v>
                </c:pt>
                <c:pt idx="5">
                  <c:v>11.993055555554747</c:v>
                </c:pt>
                <c:pt idx="6">
                  <c:v>14.045138888890506</c:v>
                </c:pt>
                <c:pt idx="7">
                  <c:v>16.038194444445253</c:v>
                </c:pt>
                <c:pt idx="8">
                  <c:v>18.993055555554747</c:v>
                </c:pt>
                <c:pt idx="9">
                  <c:v>21.045138888890506</c:v>
                </c:pt>
                <c:pt idx="10">
                  <c:v>23.013888888890506</c:v>
                </c:pt>
                <c:pt idx="11">
                  <c:v>26.003472222226264</c:v>
                </c:pt>
                <c:pt idx="12">
                  <c:v>28.02986111111386</c:v>
                </c:pt>
                <c:pt idx="13">
                  <c:v>29.149305555554747</c:v>
                </c:pt>
                <c:pt idx="14">
                  <c:v>29.990972222221899</c:v>
                </c:pt>
                <c:pt idx="15">
                  <c:v>32.990972222221899</c:v>
                </c:pt>
                <c:pt idx="16">
                  <c:v>35.002083333332848</c:v>
                </c:pt>
                <c:pt idx="17">
                  <c:v>37.01875000000291</c:v>
                </c:pt>
                <c:pt idx="18">
                  <c:v>40.011111111110949</c:v>
                </c:pt>
                <c:pt idx="19">
                  <c:v>42.029166666667152</c:v>
                </c:pt>
                <c:pt idx="20">
                  <c:v>44.022222222221899</c:v>
                </c:pt>
                <c:pt idx="21">
                  <c:v>46.997222222220444</c:v>
                </c:pt>
                <c:pt idx="22">
                  <c:v>48.994444444448163</c:v>
                </c:pt>
                <c:pt idx="23">
                  <c:v>50.971527777779556</c:v>
                </c:pt>
                <c:pt idx="24">
                  <c:v>53.979166666664241</c:v>
                </c:pt>
                <c:pt idx="25">
                  <c:v>54.225694444445253</c:v>
                </c:pt>
                <c:pt idx="26">
                  <c:v>56.019444444442343</c:v>
                </c:pt>
                <c:pt idx="27">
                  <c:v>57.995833333334303</c:v>
                </c:pt>
                <c:pt idx="28">
                  <c:v>61.00138888888614</c:v>
                </c:pt>
                <c:pt idx="29">
                  <c:v>62.996527777781012</c:v>
                </c:pt>
                <c:pt idx="30">
                  <c:v>65.071527777778101</c:v>
                </c:pt>
                <c:pt idx="31">
                  <c:v>67.984722222223354</c:v>
                </c:pt>
                <c:pt idx="32">
                  <c:v>70.167361111110949</c:v>
                </c:pt>
                <c:pt idx="33">
                  <c:v>72.156944444446708</c:v>
                </c:pt>
                <c:pt idx="34">
                  <c:v>75.146527777775191</c:v>
                </c:pt>
                <c:pt idx="35">
                  <c:v>77.093055555553292</c:v>
                </c:pt>
                <c:pt idx="36">
                  <c:v>79.150000000001455</c:v>
                </c:pt>
                <c:pt idx="37">
                  <c:v>82.143055555556202</c:v>
                </c:pt>
                <c:pt idx="38">
                  <c:v>84.15763888888614</c:v>
                </c:pt>
                <c:pt idx="39">
                  <c:v>86.27986111111386</c:v>
                </c:pt>
                <c:pt idx="40">
                  <c:v>89.148611111115315</c:v>
                </c:pt>
                <c:pt idx="41">
                  <c:v>91.1875</c:v>
                </c:pt>
                <c:pt idx="42">
                  <c:v>93.170833333337214</c:v>
                </c:pt>
                <c:pt idx="43">
                  <c:v>96.150694444448163</c:v>
                </c:pt>
                <c:pt idx="44">
                  <c:v>98.159722222226264</c:v>
                </c:pt>
                <c:pt idx="45">
                  <c:v>100.14930555555475</c:v>
                </c:pt>
                <c:pt idx="46">
                  <c:v>103.13680555555766</c:v>
                </c:pt>
                <c:pt idx="47">
                  <c:v>105.14166666667006</c:v>
                </c:pt>
                <c:pt idx="48">
                  <c:v>107.07916666667006</c:v>
                </c:pt>
                <c:pt idx="49">
                  <c:v>110.29652777777665</c:v>
                </c:pt>
                <c:pt idx="50">
                  <c:v>112.15347222222044</c:v>
                </c:pt>
                <c:pt idx="51">
                  <c:v>113.1916666666657</c:v>
                </c:pt>
                <c:pt idx="52">
                  <c:v>114.2770833333343</c:v>
                </c:pt>
                <c:pt idx="53">
                  <c:v>117.28819444444525</c:v>
                </c:pt>
                <c:pt idx="54">
                  <c:v>119.18194444444816</c:v>
                </c:pt>
                <c:pt idx="55">
                  <c:v>121.20138888889051</c:v>
                </c:pt>
                <c:pt idx="56">
                  <c:v>124.17569444444234</c:v>
                </c:pt>
                <c:pt idx="57">
                  <c:v>126.16180555555911</c:v>
                </c:pt>
                <c:pt idx="58">
                  <c:v>128.18472222222044</c:v>
                </c:pt>
                <c:pt idx="59">
                  <c:v>131.17083333333721</c:v>
                </c:pt>
                <c:pt idx="60">
                  <c:v>132.02500000000146</c:v>
                </c:pt>
              </c:numCache>
            </c:numRef>
          </c:xVal>
          <c:yVal>
            <c:numRef>
              <c:f>Gas!$V$4:$V$64</c:f>
              <c:numCache>
                <c:formatCode>0.00</c:formatCode>
                <c:ptCount val="61"/>
                <c:pt idx="0">
                  <c:v>98.892102082879447</c:v>
                </c:pt>
                <c:pt idx="1">
                  <c:v>122.89122102835633</c:v>
                </c:pt>
                <c:pt idx="2">
                  <c:v>119.75348950090687</c:v>
                </c:pt>
                <c:pt idx="3">
                  <c:v>120.97584463385473</c:v>
                </c:pt>
                <c:pt idx="4">
                  <c:v>122.69811269822871</c:v>
                </c:pt>
                <c:pt idx="5">
                  <c:v>128.06518922746383</c:v>
                </c:pt>
                <c:pt idx="6">
                  <c:v>128.51168320598788</c:v>
                </c:pt>
                <c:pt idx="7">
                  <c:v>130.6167470460191</c:v>
                </c:pt>
                <c:pt idx="8">
                  <c:v>127.54808920125087</c:v>
                </c:pt>
                <c:pt idx="9">
                  <c:v>122.05019855675468</c:v>
                </c:pt>
                <c:pt idx="10">
                  <c:v>121.26003840262625</c:v>
                </c:pt>
                <c:pt idx="11">
                  <c:v>122.70201211976881</c:v>
                </c:pt>
                <c:pt idx="12">
                  <c:v>122.12977050919703</c:v>
                </c:pt>
                <c:pt idx="13">
                  <c:v>122.55592138669122</c:v>
                </c:pt>
                <c:pt idx="14">
                  <c:v>122.98431866287352</c:v>
                </c:pt>
                <c:pt idx="15">
                  <c:v>121.81066003085319</c:v>
                </c:pt>
                <c:pt idx="16">
                  <c:v>119.20706291225964</c:v>
                </c:pt>
                <c:pt idx="17">
                  <c:v>117.1733911219136</c:v>
                </c:pt>
                <c:pt idx="18">
                  <c:v>107.11873017768266</c:v>
                </c:pt>
                <c:pt idx="19">
                  <c:v>104.51884411188122</c:v>
                </c:pt>
                <c:pt idx="20">
                  <c:v>106.75543951065382</c:v>
                </c:pt>
                <c:pt idx="21">
                  <c:v>110.79147424760311</c:v>
                </c:pt>
                <c:pt idx="22">
                  <c:v>106.30910501338091</c:v>
                </c:pt>
                <c:pt idx="23">
                  <c:v>101.18450475146432</c:v>
                </c:pt>
                <c:pt idx="24">
                  <c:v>100.89194335127836</c:v>
                </c:pt>
                <c:pt idx="25">
                  <c:v>106.27828297833416</c:v>
                </c:pt>
                <c:pt idx="26">
                  <c:v>121.74882527110374</c:v>
                </c:pt>
                <c:pt idx="27">
                  <c:v>141.32175473428549</c:v>
                </c:pt>
                <c:pt idx="28">
                  <c:v>148.78872369933137</c:v>
                </c:pt>
                <c:pt idx="29">
                  <c:v>143.86371469115917</c:v>
                </c:pt>
                <c:pt idx="30">
                  <c:v>138.93969897675558</c:v>
                </c:pt>
                <c:pt idx="31">
                  <c:v>136.49142029025768</c:v>
                </c:pt>
                <c:pt idx="32">
                  <c:v>139.09959165396864</c:v>
                </c:pt>
                <c:pt idx="33">
                  <c:v>139.01018705387213</c:v>
                </c:pt>
                <c:pt idx="34">
                  <c:v>143.85426101360585</c:v>
                </c:pt>
                <c:pt idx="35">
                  <c:v>151.02484571988899</c:v>
                </c:pt>
                <c:pt idx="36">
                  <c:v>153.12261090655517</c:v>
                </c:pt>
                <c:pt idx="37">
                  <c:v>158.97180746066724</c:v>
                </c:pt>
                <c:pt idx="38">
                  <c:v>166.25977932565306</c:v>
                </c:pt>
                <c:pt idx="39">
                  <c:v>158.91663546947564</c:v>
                </c:pt>
                <c:pt idx="40">
                  <c:v>157.89443674123774</c:v>
                </c:pt>
                <c:pt idx="41">
                  <c:v>162.01913996964291</c:v>
                </c:pt>
                <c:pt idx="42">
                  <c:v>163.17884293135751</c:v>
                </c:pt>
                <c:pt idx="43">
                  <c:v>160.4410987241202</c:v>
                </c:pt>
                <c:pt idx="44">
                  <c:v>150.73837927370101</c:v>
                </c:pt>
                <c:pt idx="45">
                  <c:v>151.54958542053731</c:v>
                </c:pt>
                <c:pt idx="46">
                  <c:v>151.87542397864684</c:v>
                </c:pt>
                <c:pt idx="47">
                  <c:v>156.01950589680763</c:v>
                </c:pt>
                <c:pt idx="48">
                  <c:v>156.81060694954735</c:v>
                </c:pt>
                <c:pt idx="49">
                  <c:v>152.60492796929185</c:v>
                </c:pt>
                <c:pt idx="50">
                  <c:v>144.57351235619637</c:v>
                </c:pt>
                <c:pt idx="51">
                  <c:v>131.16603811410101</c:v>
                </c:pt>
                <c:pt idx="52">
                  <c:v>129.83047651935885</c:v>
                </c:pt>
                <c:pt idx="53">
                  <c:v>124.02123728752166</c:v>
                </c:pt>
                <c:pt idx="54">
                  <c:v>127.00381308412203</c:v>
                </c:pt>
                <c:pt idx="55">
                  <c:v>129.09843345723829</c:v>
                </c:pt>
                <c:pt idx="56">
                  <c:v>133.13878156184765</c:v>
                </c:pt>
                <c:pt idx="57">
                  <c:v>127.37142754538942</c:v>
                </c:pt>
                <c:pt idx="58">
                  <c:v>116.66764350927174</c:v>
                </c:pt>
                <c:pt idx="59">
                  <c:v>109.93023529083361</c:v>
                </c:pt>
                <c:pt idx="60">
                  <c:v>108.97451973055881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9A-44B6-9B8F-B50C112A2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298160"/>
        <c:axId val="709299240"/>
      </c:scatterChart>
      <c:valAx>
        <c:axId val="709298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299240"/>
        <c:crosses val="autoZero"/>
        <c:crossBetween val="midCat"/>
        <c:majorUnit val="14"/>
      </c:valAx>
      <c:valAx>
        <c:axId val="70929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mmol/d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298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Dissolved CO2</a:t>
            </a:r>
            <a:r>
              <a:rPr lang="en-US" baseline="0"/>
              <a:t> species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Gas!$C$3:$C$64</c:f>
              <c:numCache>
                <c:formatCode>0.00</c:formatCode>
                <c:ptCount val="62"/>
                <c:pt idx="0" formatCode="General">
                  <c:v>0</c:v>
                </c:pt>
                <c:pt idx="1">
                  <c:v>1.9791666666642413</c:v>
                </c:pt>
                <c:pt idx="2">
                  <c:v>5.0034722222262644</c:v>
                </c:pt>
                <c:pt idx="3">
                  <c:v>7.015972222223354</c:v>
                </c:pt>
                <c:pt idx="4">
                  <c:v>9.0881944444481633</c:v>
                </c:pt>
                <c:pt idx="5">
                  <c:v>9.2743055555547471</c:v>
                </c:pt>
                <c:pt idx="6">
                  <c:v>11.993055555554747</c:v>
                </c:pt>
                <c:pt idx="7">
                  <c:v>14.045138888890506</c:v>
                </c:pt>
                <c:pt idx="8">
                  <c:v>16.038194444445253</c:v>
                </c:pt>
                <c:pt idx="9">
                  <c:v>18.993055555554747</c:v>
                </c:pt>
                <c:pt idx="10">
                  <c:v>21.045138888890506</c:v>
                </c:pt>
                <c:pt idx="11">
                  <c:v>23.013888888890506</c:v>
                </c:pt>
                <c:pt idx="12">
                  <c:v>26.003472222226264</c:v>
                </c:pt>
                <c:pt idx="13">
                  <c:v>28.02986111111386</c:v>
                </c:pt>
                <c:pt idx="14">
                  <c:v>29.149305555554747</c:v>
                </c:pt>
                <c:pt idx="15">
                  <c:v>29.990972222221899</c:v>
                </c:pt>
                <c:pt idx="16">
                  <c:v>32.990972222221899</c:v>
                </c:pt>
                <c:pt idx="17">
                  <c:v>35.002083333332848</c:v>
                </c:pt>
                <c:pt idx="18">
                  <c:v>37.01875000000291</c:v>
                </c:pt>
                <c:pt idx="19">
                  <c:v>40.011111111110949</c:v>
                </c:pt>
                <c:pt idx="20">
                  <c:v>42.029166666667152</c:v>
                </c:pt>
                <c:pt idx="21">
                  <c:v>44.022222222221899</c:v>
                </c:pt>
                <c:pt idx="22">
                  <c:v>46.997222222220444</c:v>
                </c:pt>
                <c:pt idx="23">
                  <c:v>48.994444444448163</c:v>
                </c:pt>
                <c:pt idx="24">
                  <c:v>50.971527777779556</c:v>
                </c:pt>
                <c:pt idx="25">
                  <c:v>53.979166666664241</c:v>
                </c:pt>
                <c:pt idx="26">
                  <c:v>54.225694444445253</c:v>
                </c:pt>
                <c:pt idx="27">
                  <c:v>56.019444444442343</c:v>
                </c:pt>
                <c:pt idx="28">
                  <c:v>57.995833333334303</c:v>
                </c:pt>
                <c:pt idx="29">
                  <c:v>61.00138888888614</c:v>
                </c:pt>
                <c:pt idx="30">
                  <c:v>62.996527777781012</c:v>
                </c:pt>
                <c:pt idx="31">
                  <c:v>65.071527777778101</c:v>
                </c:pt>
                <c:pt idx="32">
                  <c:v>67.984722222223354</c:v>
                </c:pt>
                <c:pt idx="33">
                  <c:v>70.167361111110949</c:v>
                </c:pt>
                <c:pt idx="34">
                  <c:v>72.156944444446708</c:v>
                </c:pt>
                <c:pt idx="35">
                  <c:v>75.146527777775191</c:v>
                </c:pt>
                <c:pt idx="36">
                  <c:v>77.093055555553292</c:v>
                </c:pt>
                <c:pt idx="37">
                  <c:v>79.150000000001455</c:v>
                </c:pt>
                <c:pt idx="38">
                  <c:v>82.143055555556202</c:v>
                </c:pt>
                <c:pt idx="39">
                  <c:v>84.15763888888614</c:v>
                </c:pt>
                <c:pt idx="40">
                  <c:v>86.27986111111386</c:v>
                </c:pt>
                <c:pt idx="41">
                  <c:v>89.148611111115315</c:v>
                </c:pt>
                <c:pt idx="42">
                  <c:v>91.1875</c:v>
                </c:pt>
                <c:pt idx="43">
                  <c:v>93.170833333337214</c:v>
                </c:pt>
                <c:pt idx="44">
                  <c:v>96.150694444448163</c:v>
                </c:pt>
                <c:pt idx="45">
                  <c:v>98.159722222226264</c:v>
                </c:pt>
                <c:pt idx="46">
                  <c:v>100.14930555555475</c:v>
                </c:pt>
                <c:pt idx="47">
                  <c:v>103.13680555555766</c:v>
                </c:pt>
                <c:pt idx="48">
                  <c:v>105.14166666667006</c:v>
                </c:pt>
                <c:pt idx="49">
                  <c:v>107.07916666667006</c:v>
                </c:pt>
                <c:pt idx="50">
                  <c:v>110.29652777777665</c:v>
                </c:pt>
                <c:pt idx="51">
                  <c:v>112.15347222222044</c:v>
                </c:pt>
                <c:pt idx="52">
                  <c:v>113.1916666666657</c:v>
                </c:pt>
                <c:pt idx="53">
                  <c:v>114.2770833333343</c:v>
                </c:pt>
                <c:pt idx="54">
                  <c:v>117.28819444444525</c:v>
                </c:pt>
                <c:pt idx="55">
                  <c:v>119.18194444444816</c:v>
                </c:pt>
                <c:pt idx="56">
                  <c:v>121.20138888889051</c:v>
                </c:pt>
                <c:pt idx="57">
                  <c:v>124.17569444444234</c:v>
                </c:pt>
                <c:pt idx="58">
                  <c:v>126.16180555555911</c:v>
                </c:pt>
                <c:pt idx="59">
                  <c:v>128.18472222222044</c:v>
                </c:pt>
                <c:pt idx="60">
                  <c:v>131.17083333333721</c:v>
                </c:pt>
                <c:pt idx="61">
                  <c:v>132.02500000000146</c:v>
                </c:pt>
              </c:numCache>
            </c:numRef>
          </c:xVal>
          <c:yVal>
            <c:numRef>
              <c:f>Gas!$P$3:$P$64</c:f>
              <c:numCache>
                <c:formatCode>0.00</c:formatCode>
                <c:ptCount val="62"/>
                <c:pt idx="0">
                  <c:v>1.9707536446148597</c:v>
                </c:pt>
                <c:pt idx="1">
                  <c:v>3.1685730595564356</c:v>
                </c:pt>
                <c:pt idx="2">
                  <c:v>3.002904278904492</c:v>
                </c:pt>
                <c:pt idx="3">
                  <c:v>2.9523473386086909</c:v>
                </c:pt>
                <c:pt idx="4">
                  <c:v>3.3003143260180328</c:v>
                </c:pt>
                <c:pt idx="5">
                  <c:v>3.271260808947658</c:v>
                </c:pt>
                <c:pt idx="6">
                  <c:v>3.2422072918772828</c:v>
                </c:pt>
                <c:pt idx="7">
                  <c:v>3.1654505558658252</c:v>
                </c:pt>
                <c:pt idx="8">
                  <c:v>3.2105580206253608</c:v>
                </c:pt>
                <c:pt idx="9">
                  <c:v>2.9963483511331721</c:v>
                </c:pt>
                <c:pt idx="10">
                  <c:v>2.7386222181796516</c:v>
                </c:pt>
                <c:pt idx="11">
                  <c:v>3.0071137698623422</c:v>
                </c:pt>
                <c:pt idx="12">
                  <c:v>3.0360981327429775</c:v>
                </c:pt>
                <c:pt idx="13">
                  <c:v>3.0139480477624412</c:v>
                </c:pt>
                <c:pt idx="14">
                  <c:v>3.1222867573542437</c:v>
                </c:pt>
                <c:pt idx="15">
                  <c:v>3.2947762656688151</c:v>
                </c:pt>
                <c:pt idx="16">
                  <c:v>2.867451494820521</c:v>
                </c:pt>
                <c:pt idx="17">
                  <c:v>2.9193195037320838</c:v>
                </c:pt>
                <c:pt idx="18">
                  <c:v>2.891260411205689</c:v>
                </c:pt>
                <c:pt idx="19">
                  <c:v>2.7971888172488981</c:v>
                </c:pt>
                <c:pt idx="20">
                  <c:v>2.6938830280316797</c:v>
                </c:pt>
                <c:pt idx="21">
                  <c:v>2.8281768320470291</c:v>
                </c:pt>
                <c:pt idx="22">
                  <c:v>2.8087392194998078</c:v>
                </c:pt>
                <c:pt idx="23">
                  <c:v>2.8395308014650489</c:v>
                </c:pt>
                <c:pt idx="24">
                  <c:v>2.819753592436721</c:v>
                </c:pt>
                <c:pt idx="25">
                  <c:v>2.8192294013180001</c:v>
                </c:pt>
                <c:pt idx="26">
                  <c:v>3.0525213755965122</c:v>
                </c:pt>
                <c:pt idx="27">
                  <c:v>3.1811878810725447</c:v>
                </c:pt>
                <c:pt idx="28">
                  <c:v>3.9363299931673961</c:v>
                </c:pt>
                <c:pt idx="29">
                  <c:v>3.5581370973935558</c:v>
                </c:pt>
                <c:pt idx="30">
                  <c:v>3.5581370973935558</c:v>
                </c:pt>
                <c:pt idx="31">
                  <c:v>3.264370885736632</c:v>
                </c:pt>
                <c:pt idx="32">
                  <c:v>3.3190839255479081</c:v>
                </c:pt>
                <c:pt idx="33">
                  <c:v>3.3736907822600535</c:v>
                </c:pt>
                <c:pt idx="34">
                  <c:v>3.3205756186177724</c:v>
                </c:pt>
                <c:pt idx="35">
                  <c:v>3.4149995698580886</c:v>
                </c:pt>
                <c:pt idx="36">
                  <c:v>3.6262488646534501</c:v>
                </c:pt>
                <c:pt idx="37">
                  <c:v>3.6450012828287752</c:v>
                </c:pt>
                <c:pt idx="38">
                  <c:v>3.7875608250035544</c:v>
                </c:pt>
                <c:pt idx="39">
                  <c:v>3.9533792991370369</c:v>
                </c:pt>
                <c:pt idx="40">
                  <c:v>3.8351754764961106</c:v>
                </c:pt>
                <c:pt idx="41">
                  <c:v>3.9777765391663147</c:v>
                </c:pt>
                <c:pt idx="42">
                  <c:v>3.9942901571757439</c:v>
                </c:pt>
                <c:pt idx="43">
                  <c:v>4.0095841845803735</c:v>
                </c:pt>
                <c:pt idx="44">
                  <c:v>3.9741369765910499</c:v>
                </c:pt>
                <c:pt idx="45">
                  <c:v>3.751515725263447</c:v>
                </c:pt>
                <c:pt idx="46">
                  <c:v>3.8556518208585762</c:v>
                </c:pt>
                <c:pt idx="47">
                  <c:v>3.7434964673106541</c:v>
                </c:pt>
                <c:pt idx="48">
                  <c:v>3.8739532633346276</c:v>
                </c:pt>
                <c:pt idx="49">
                  <c:v>3.6910834198480247</c:v>
                </c:pt>
                <c:pt idx="50">
                  <c:v>3.7226162778036476</c:v>
                </c:pt>
                <c:pt idx="51">
                  <c:v>3.5689302846833124</c:v>
                </c:pt>
                <c:pt idx="52">
                  <c:v>3.536632148544486</c:v>
                </c:pt>
                <c:pt idx="53">
                  <c:v>3.4021717936659046</c:v>
                </c:pt>
                <c:pt idx="54">
                  <c:v>3.2109173601111283</c:v>
                </c:pt>
                <c:pt idx="55">
                  <c:v>3.1612980557426877</c:v>
                </c:pt>
                <c:pt idx="56">
                  <c:v>3.2455632105331378</c:v>
                </c:pt>
                <c:pt idx="57">
                  <c:v>2.8652503359480983</c:v>
                </c:pt>
                <c:pt idx="58">
                  <c:v>2.9506934898163868</c:v>
                </c:pt>
                <c:pt idx="59">
                  <c:v>2.907573984336095</c:v>
                </c:pt>
                <c:pt idx="60">
                  <c:v>2.8859080082978235</c:v>
                </c:pt>
                <c:pt idx="61">
                  <c:v>2.6669823705600311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BA-4336-9BA7-1CFD812DB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069640"/>
        <c:axId val="852066760"/>
      </c:scatterChart>
      <c:valAx>
        <c:axId val="852069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66760"/>
        <c:crosses val="autoZero"/>
        <c:crossBetween val="midCat"/>
      </c:valAx>
      <c:valAx>
        <c:axId val="85206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69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consumed CO2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Gas!$C$4:$C$64</c:f>
              <c:numCache>
                <c:formatCode>0.00</c:formatCode>
                <c:ptCount val="61"/>
                <c:pt idx="0">
                  <c:v>1.9791666666642413</c:v>
                </c:pt>
                <c:pt idx="1">
                  <c:v>5.0034722222262644</c:v>
                </c:pt>
                <c:pt idx="2">
                  <c:v>7.015972222223354</c:v>
                </c:pt>
                <c:pt idx="3">
                  <c:v>9.0881944444481633</c:v>
                </c:pt>
                <c:pt idx="4">
                  <c:v>9.2743055555547471</c:v>
                </c:pt>
                <c:pt idx="5">
                  <c:v>11.993055555554747</c:v>
                </c:pt>
                <c:pt idx="6">
                  <c:v>14.045138888890506</c:v>
                </c:pt>
                <c:pt idx="7">
                  <c:v>16.038194444445253</c:v>
                </c:pt>
                <c:pt idx="8">
                  <c:v>18.993055555554747</c:v>
                </c:pt>
                <c:pt idx="9">
                  <c:v>21.045138888890506</c:v>
                </c:pt>
                <c:pt idx="10">
                  <c:v>23.013888888890506</c:v>
                </c:pt>
                <c:pt idx="11">
                  <c:v>26.003472222226264</c:v>
                </c:pt>
                <c:pt idx="12">
                  <c:v>28.02986111111386</c:v>
                </c:pt>
                <c:pt idx="13">
                  <c:v>29.149305555554747</c:v>
                </c:pt>
                <c:pt idx="14">
                  <c:v>29.990972222221899</c:v>
                </c:pt>
                <c:pt idx="15">
                  <c:v>32.990972222221899</c:v>
                </c:pt>
                <c:pt idx="16">
                  <c:v>35.002083333332848</c:v>
                </c:pt>
                <c:pt idx="17">
                  <c:v>37.01875000000291</c:v>
                </c:pt>
                <c:pt idx="18">
                  <c:v>40.011111111110949</c:v>
                </c:pt>
                <c:pt idx="19">
                  <c:v>42.029166666667152</c:v>
                </c:pt>
                <c:pt idx="20">
                  <c:v>44.022222222221899</c:v>
                </c:pt>
                <c:pt idx="21">
                  <c:v>46.997222222220444</c:v>
                </c:pt>
                <c:pt idx="22">
                  <c:v>48.994444444448163</c:v>
                </c:pt>
                <c:pt idx="23">
                  <c:v>50.971527777779556</c:v>
                </c:pt>
                <c:pt idx="24">
                  <c:v>53.979166666664241</c:v>
                </c:pt>
                <c:pt idx="25">
                  <c:v>54.225694444445253</c:v>
                </c:pt>
                <c:pt idx="26">
                  <c:v>56.019444444442343</c:v>
                </c:pt>
                <c:pt idx="27">
                  <c:v>57.995833333334303</c:v>
                </c:pt>
                <c:pt idx="28">
                  <c:v>61.00138888888614</c:v>
                </c:pt>
                <c:pt idx="29">
                  <c:v>62.996527777781012</c:v>
                </c:pt>
                <c:pt idx="30">
                  <c:v>65.071527777778101</c:v>
                </c:pt>
                <c:pt idx="31">
                  <c:v>67.984722222223354</c:v>
                </c:pt>
                <c:pt idx="32">
                  <c:v>70.167361111110949</c:v>
                </c:pt>
                <c:pt idx="33">
                  <c:v>72.156944444446708</c:v>
                </c:pt>
                <c:pt idx="34">
                  <c:v>75.146527777775191</c:v>
                </c:pt>
                <c:pt idx="35">
                  <c:v>77.093055555553292</c:v>
                </c:pt>
                <c:pt idx="36">
                  <c:v>79.150000000001455</c:v>
                </c:pt>
                <c:pt idx="37">
                  <c:v>82.143055555556202</c:v>
                </c:pt>
                <c:pt idx="38">
                  <c:v>84.15763888888614</c:v>
                </c:pt>
                <c:pt idx="39">
                  <c:v>86.27986111111386</c:v>
                </c:pt>
                <c:pt idx="40">
                  <c:v>89.148611111115315</c:v>
                </c:pt>
                <c:pt idx="41">
                  <c:v>91.1875</c:v>
                </c:pt>
                <c:pt idx="42">
                  <c:v>93.170833333337214</c:v>
                </c:pt>
                <c:pt idx="43">
                  <c:v>96.150694444448163</c:v>
                </c:pt>
                <c:pt idx="44">
                  <c:v>98.159722222226264</c:v>
                </c:pt>
                <c:pt idx="45">
                  <c:v>100.14930555555475</c:v>
                </c:pt>
                <c:pt idx="46">
                  <c:v>103.13680555555766</c:v>
                </c:pt>
                <c:pt idx="47">
                  <c:v>105.14166666667006</c:v>
                </c:pt>
                <c:pt idx="48">
                  <c:v>107.07916666667006</c:v>
                </c:pt>
                <c:pt idx="49">
                  <c:v>110.29652777777665</c:v>
                </c:pt>
                <c:pt idx="50">
                  <c:v>112.15347222222044</c:v>
                </c:pt>
                <c:pt idx="51">
                  <c:v>113.1916666666657</c:v>
                </c:pt>
                <c:pt idx="52">
                  <c:v>114.2770833333343</c:v>
                </c:pt>
                <c:pt idx="53">
                  <c:v>117.28819444444525</c:v>
                </c:pt>
                <c:pt idx="54">
                  <c:v>119.18194444444816</c:v>
                </c:pt>
                <c:pt idx="55">
                  <c:v>121.20138888889051</c:v>
                </c:pt>
                <c:pt idx="56">
                  <c:v>124.17569444444234</c:v>
                </c:pt>
                <c:pt idx="57">
                  <c:v>126.16180555555911</c:v>
                </c:pt>
                <c:pt idx="58">
                  <c:v>128.18472222222044</c:v>
                </c:pt>
                <c:pt idx="59">
                  <c:v>131.17083333333721</c:v>
                </c:pt>
                <c:pt idx="60">
                  <c:v>132.02500000000146</c:v>
                </c:pt>
              </c:numCache>
            </c:numRef>
          </c:xVal>
          <c:yVal>
            <c:numRef>
              <c:f>Gas!$X$4:$X$64</c:f>
              <c:numCache>
                <c:formatCode>0.00</c:formatCode>
                <c:ptCount val="61"/>
                <c:pt idx="0">
                  <c:v>-4.656844911007056</c:v>
                </c:pt>
                <c:pt idx="1">
                  <c:v>0.92654988146591677</c:v>
                </c:pt>
                <c:pt idx="2">
                  <c:v>9.97999738103249</c:v>
                </c:pt>
                <c:pt idx="3">
                  <c:v>13.739187487720301</c:v>
                </c:pt>
                <c:pt idx="4">
                  <c:v>15.101979622150793</c:v>
                </c:pt>
                <c:pt idx="5">
                  <c:v>9.601629454712338</c:v>
                </c:pt>
                <c:pt idx="6">
                  <c:v>2.3692989249534548</c:v>
                </c:pt>
                <c:pt idx="7">
                  <c:v>-0.906763257486773</c:v>
                </c:pt>
                <c:pt idx="8">
                  <c:v>2.1053250087379638</c:v>
                </c:pt>
                <c:pt idx="9">
                  <c:v>0.15129436601978341</c:v>
                </c:pt>
                <c:pt idx="10">
                  <c:v>1.5795828145535324</c:v>
                </c:pt>
                <c:pt idx="11">
                  <c:v>8.5150473866533503</c:v>
                </c:pt>
                <c:pt idx="12">
                  <c:v>11.6962668438332</c:v>
                </c:pt>
                <c:pt idx="13">
                  <c:v>11.446671895304462</c:v>
                </c:pt>
                <c:pt idx="14">
                  <c:v>5.997033404319609</c:v>
                </c:pt>
                <c:pt idx="15">
                  <c:v>3.846252849013581</c:v>
                </c:pt>
                <c:pt idx="16">
                  <c:v>7.7322166998815192</c:v>
                </c:pt>
                <c:pt idx="17">
                  <c:v>17.429536521195132</c:v>
                </c:pt>
                <c:pt idx="18">
                  <c:v>14.673273112882725</c:v>
                </c:pt>
                <c:pt idx="19">
                  <c:v>4.3328022450477874</c:v>
                </c:pt>
                <c:pt idx="20">
                  <c:v>9.5498541343204124E-3</c:v>
                </c:pt>
                <c:pt idx="21">
                  <c:v>-9.3533396694799649</c:v>
                </c:pt>
                <c:pt idx="22">
                  <c:v>-9.4477823973777504</c:v>
                </c:pt>
                <c:pt idx="23">
                  <c:v>-4.0830614774931746</c:v>
                </c:pt>
                <c:pt idx="24">
                  <c:v>-4.7063232980744942</c:v>
                </c:pt>
                <c:pt idx="25">
                  <c:v>-1.5577053141689703</c:v>
                </c:pt>
                <c:pt idx="26">
                  <c:v>3.6966957786453349</c:v>
                </c:pt>
                <c:pt idx="27">
                  <c:v>8.1524146832032329</c:v>
                </c:pt>
                <c:pt idx="28">
                  <c:v>4.4287424758445013</c:v>
                </c:pt>
                <c:pt idx="29">
                  <c:v>-0.89813068831517739</c:v>
                </c:pt>
                <c:pt idx="30">
                  <c:v>-6.4354231206325494</c:v>
                </c:pt>
                <c:pt idx="31">
                  <c:v>-5.1887981443035187</c:v>
                </c:pt>
                <c:pt idx="32">
                  <c:v>2.9699299629512552</c:v>
                </c:pt>
                <c:pt idx="33">
                  <c:v>6.3442472897540938</c:v>
                </c:pt>
                <c:pt idx="34">
                  <c:v>9.5319940746926477</c:v>
                </c:pt>
                <c:pt idx="35">
                  <c:v>13.954924618383302</c:v>
                </c:pt>
                <c:pt idx="36">
                  <c:v>15.398462537544447</c:v>
                </c:pt>
                <c:pt idx="37">
                  <c:v>13.434423990633604</c:v>
                </c:pt>
                <c:pt idx="38">
                  <c:v>11.14545574966246</c:v>
                </c:pt>
                <c:pt idx="39">
                  <c:v>14.604320137357945</c:v>
                </c:pt>
                <c:pt idx="40">
                  <c:v>17.44541752980308</c:v>
                </c:pt>
                <c:pt idx="41">
                  <c:v>11.862462064833153</c:v>
                </c:pt>
                <c:pt idx="42">
                  <c:v>15.993201958496229</c:v>
                </c:pt>
                <c:pt idx="43">
                  <c:v>18.442255529872682</c:v>
                </c:pt>
                <c:pt idx="44">
                  <c:v>11.940069476688222</c:v>
                </c:pt>
                <c:pt idx="45">
                  <c:v>12.460839749208162</c:v>
                </c:pt>
                <c:pt idx="46">
                  <c:v>13.181803184765613</c:v>
                </c:pt>
                <c:pt idx="47">
                  <c:v>9.4773408250744069</c:v>
                </c:pt>
                <c:pt idx="48">
                  <c:v>8.0258238361070653</c:v>
                </c:pt>
                <c:pt idx="49">
                  <c:v>12.347162862778532</c:v>
                </c:pt>
                <c:pt idx="50">
                  <c:v>12.575181695704487</c:v>
                </c:pt>
                <c:pt idx="51">
                  <c:v>10.661198787132889</c:v>
                </c:pt>
                <c:pt idx="52">
                  <c:v>7.6777882636283721</c:v>
                </c:pt>
                <c:pt idx="53">
                  <c:v>5.3329369416271675</c:v>
                </c:pt>
                <c:pt idx="54">
                  <c:v>5.0565792088218586</c:v>
                </c:pt>
                <c:pt idx="55">
                  <c:v>3.7421748601339004</c:v>
                </c:pt>
                <c:pt idx="56">
                  <c:v>-0.27671243426198089</c:v>
                </c:pt>
                <c:pt idx="57">
                  <c:v>-1.7978545523549201</c:v>
                </c:pt>
                <c:pt idx="58">
                  <c:v>0.72208215210366689</c:v>
                </c:pt>
                <c:pt idx="59">
                  <c:v>1.3278647541674218</c:v>
                </c:pt>
                <c:pt idx="60">
                  <c:v>-0.22828371058312769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32-46D5-85D3-61FB7EE26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155560"/>
        <c:axId val="883155920"/>
      </c:scatterChart>
      <c:valAx>
        <c:axId val="883155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83155920"/>
        <c:crosses val="autoZero"/>
        <c:crossBetween val="midCat"/>
        <c:majorUnit val="14"/>
      </c:valAx>
      <c:valAx>
        <c:axId val="883155920"/>
        <c:scaling>
          <c:orientation val="minMax"/>
          <c:max val="25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mmol/day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831555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Carbon Balance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Balances!$A$10:$A$64</c:f>
              <c:numCache>
                <c:formatCode>0.00</c:formatCode>
                <c:ptCount val="55"/>
                <c:pt idx="0">
                  <c:v>11.993055555554747</c:v>
                </c:pt>
                <c:pt idx="1">
                  <c:v>14.045138888890506</c:v>
                </c:pt>
                <c:pt idx="2">
                  <c:v>16.038194444445253</c:v>
                </c:pt>
                <c:pt idx="3">
                  <c:v>18.993055555554747</c:v>
                </c:pt>
                <c:pt idx="4">
                  <c:v>21.045138888890506</c:v>
                </c:pt>
                <c:pt idx="5">
                  <c:v>23.013888888890506</c:v>
                </c:pt>
                <c:pt idx="6">
                  <c:v>26.003472222226264</c:v>
                </c:pt>
                <c:pt idx="7">
                  <c:v>28.02986111111386</c:v>
                </c:pt>
                <c:pt idx="8">
                  <c:v>29.149305555554747</c:v>
                </c:pt>
                <c:pt idx="9">
                  <c:v>29.990972222221899</c:v>
                </c:pt>
                <c:pt idx="10">
                  <c:v>32.990972222221899</c:v>
                </c:pt>
                <c:pt idx="11">
                  <c:v>35.002083333332848</c:v>
                </c:pt>
                <c:pt idx="12">
                  <c:v>37.01875000000291</c:v>
                </c:pt>
                <c:pt idx="13">
                  <c:v>40.011111111110949</c:v>
                </c:pt>
                <c:pt idx="14">
                  <c:v>42.029166666667152</c:v>
                </c:pt>
                <c:pt idx="15">
                  <c:v>44.022222222221899</c:v>
                </c:pt>
                <c:pt idx="16">
                  <c:v>46.997222222220444</c:v>
                </c:pt>
                <c:pt idx="17">
                  <c:v>48.994444444448163</c:v>
                </c:pt>
                <c:pt idx="18">
                  <c:v>50.971527777779556</c:v>
                </c:pt>
                <c:pt idx="19">
                  <c:v>53.979166666664241</c:v>
                </c:pt>
                <c:pt idx="20">
                  <c:v>56.019444444442343</c:v>
                </c:pt>
                <c:pt idx="21">
                  <c:v>57.995833333334303</c:v>
                </c:pt>
                <c:pt idx="22">
                  <c:v>61.00138888888614</c:v>
                </c:pt>
                <c:pt idx="23">
                  <c:v>62.996527777781012</c:v>
                </c:pt>
                <c:pt idx="24">
                  <c:v>65.071527777778101</c:v>
                </c:pt>
                <c:pt idx="25">
                  <c:v>67.984722222223354</c:v>
                </c:pt>
                <c:pt idx="26">
                  <c:v>70.167361111110949</c:v>
                </c:pt>
                <c:pt idx="27">
                  <c:v>72.156944444446708</c:v>
                </c:pt>
                <c:pt idx="28">
                  <c:v>75.146527777775191</c:v>
                </c:pt>
                <c:pt idx="29">
                  <c:v>77.093055555553292</c:v>
                </c:pt>
                <c:pt idx="30">
                  <c:v>79.150000000001455</c:v>
                </c:pt>
                <c:pt idx="31">
                  <c:v>82.143055555556202</c:v>
                </c:pt>
                <c:pt idx="32">
                  <c:v>84.15763888888614</c:v>
                </c:pt>
                <c:pt idx="33">
                  <c:v>86.27986111111386</c:v>
                </c:pt>
                <c:pt idx="34">
                  <c:v>89.148611111115315</c:v>
                </c:pt>
                <c:pt idx="35">
                  <c:v>91.1875</c:v>
                </c:pt>
                <c:pt idx="36">
                  <c:v>93.170833333337214</c:v>
                </c:pt>
                <c:pt idx="37">
                  <c:v>96.150694444448163</c:v>
                </c:pt>
                <c:pt idx="38">
                  <c:v>98.159722222226264</c:v>
                </c:pt>
                <c:pt idx="39">
                  <c:v>100.14930555555475</c:v>
                </c:pt>
                <c:pt idx="40">
                  <c:v>103.13680555555766</c:v>
                </c:pt>
                <c:pt idx="41">
                  <c:v>105.14166666667006</c:v>
                </c:pt>
                <c:pt idx="42">
                  <c:v>107.07916666667006</c:v>
                </c:pt>
                <c:pt idx="43">
                  <c:v>110.29652777777665</c:v>
                </c:pt>
                <c:pt idx="44">
                  <c:v>112.15347222222044</c:v>
                </c:pt>
                <c:pt idx="45">
                  <c:v>113.1916666666657</c:v>
                </c:pt>
                <c:pt idx="46">
                  <c:v>114.2770833333343</c:v>
                </c:pt>
                <c:pt idx="47">
                  <c:v>117.28819444444525</c:v>
                </c:pt>
                <c:pt idx="48">
                  <c:v>119.18194444444816</c:v>
                </c:pt>
                <c:pt idx="49">
                  <c:v>121.20138888889051</c:v>
                </c:pt>
                <c:pt idx="50">
                  <c:v>124.17569444444234</c:v>
                </c:pt>
                <c:pt idx="51">
                  <c:v>126.16180555555911</c:v>
                </c:pt>
                <c:pt idx="52">
                  <c:v>128.18472222222044</c:v>
                </c:pt>
                <c:pt idx="53">
                  <c:v>131.17083333333721</c:v>
                </c:pt>
                <c:pt idx="54">
                  <c:v>132.02500000000146</c:v>
                </c:pt>
              </c:numCache>
            </c:numRef>
          </c:xVal>
          <c:yVal>
            <c:numRef>
              <c:f>Balances!$D$10:$D$64</c:f>
              <c:numCache>
                <c:formatCode>0%</c:formatCode>
                <c:ptCount val="55"/>
                <c:pt idx="0">
                  <c:v>0.9909655404425104</c:v>
                </c:pt>
                <c:pt idx="1">
                  <c:v>0.94870637119015677</c:v>
                </c:pt>
                <c:pt idx="2">
                  <c:v>0.94290484741865299</c:v>
                </c:pt>
                <c:pt idx="3">
                  <c:v>0.99091876679161106</c:v>
                </c:pt>
                <c:pt idx="4">
                  <c:v>0.97691553584401358</c:v>
                </c:pt>
                <c:pt idx="5">
                  <c:v>0.98484079578724515</c:v>
                </c:pt>
                <c:pt idx="6">
                  <c:v>1.0060811926747888</c:v>
                </c:pt>
                <c:pt idx="7">
                  <c:v>1.0186010650430737</c:v>
                </c:pt>
                <c:pt idx="8">
                  <c:v>0.70939992117860406</c:v>
                </c:pt>
                <c:pt idx="9">
                  <c:v>0.71408622955553591</c:v>
                </c:pt>
                <c:pt idx="10">
                  <c:v>1.0343335153801536</c:v>
                </c:pt>
                <c:pt idx="11">
                  <c:v>1.1272144617812863</c:v>
                </c:pt>
                <c:pt idx="12">
                  <c:v>1.1571200367716501</c:v>
                </c:pt>
                <c:pt idx="13">
                  <c:v>1.158549255231299</c:v>
                </c:pt>
                <c:pt idx="14">
                  <c:v>1.1389529848059277</c:v>
                </c:pt>
                <c:pt idx="15">
                  <c:v>1.1182889519170789</c:v>
                </c:pt>
                <c:pt idx="16">
                  <c:v>0.959727944731805</c:v>
                </c:pt>
                <c:pt idx="17">
                  <c:v>0.96161972536150475</c:v>
                </c:pt>
                <c:pt idx="18">
                  <c:v>0.94643788408629215</c:v>
                </c:pt>
                <c:pt idx="19">
                  <c:v>0.97425240085852349</c:v>
                </c:pt>
                <c:pt idx="20">
                  <c:v>0.93016763502679356</c:v>
                </c:pt>
                <c:pt idx="21">
                  <c:v>0.97493891950226785</c:v>
                </c:pt>
                <c:pt idx="22">
                  <c:v>0.9500729788804676</c:v>
                </c:pt>
                <c:pt idx="23">
                  <c:v>0.92632667227680254</c:v>
                </c:pt>
                <c:pt idx="24">
                  <c:v>0.94556725298511946</c:v>
                </c:pt>
                <c:pt idx="25">
                  <c:v>0.95080392353600984</c:v>
                </c:pt>
                <c:pt idx="26">
                  <c:v>0.97507948762633256</c:v>
                </c:pt>
                <c:pt idx="27">
                  <c:v>0.98792809702031514</c:v>
                </c:pt>
                <c:pt idx="28">
                  <c:v>0.91484782885145355</c:v>
                </c:pt>
                <c:pt idx="29">
                  <c:v>0.90553915965254417</c:v>
                </c:pt>
                <c:pt idx="30">
                  <c:v>0.91076168021836268</c:v>
                </c:pt>
                <c:pt idx="31">
                  <c:v>0.90181607523741403</c:v>
                </c:pt>
                <c:pt idx="32">
                  <c:v>0.93326646942522207</c:v>
                </c:pt>
                <c:pt idx="33">
                  <c:v>0.97457067198143199</c:v>
                </c:pt>
                <c:pt idx="34">
                  <c:v>0.96526266768658209</c:v>
                </c:pt>
                <c:pt idx="35">
                  <c:v>0.95273064709470889</c:v>
                </c:pt>
                <c:pt idx="36">
                  <c:v>0.96528363772193571</c:v>
                </c:pt>
                <c:pt idx="37">
                  <c:v>0.94414549448800067</c:v>
                </c:pt>
                <c:pt idx="38">
                  <c:v>0.9264818337824926</c:v>
                </c:pt>
                <c:pt idx="39">
                  <c:v>0.93134645540095529</c:v>
                </c:pt>
                <c:pt idx="40">
                  <c:v>0.91621643105639505</c:v>
                </c:pt>
                <c:pt idx="41">
                  <c:v>0.92243438170043479</c:v>
                </c:pt>
                <c:pt idx="42">
                  <c:v>0.91695178584222037</c:v>
                </c:pt>
                <c:pt idx="43">
                  <c:v>0.93456193006630728</c:v>
                </c:pt>
                <c:pt idx="44">
                  <c:v>0.90382179052870915</c:v>
                </c:pt>
                <c:pt idx="45">
                  <c:v>0.6683476584224336</c:v>
                </c:pt>
                <c:pt idx="46">
                  <c:v>0.72751395688608345</c:v>
                </c:pt>
                <c:pt idx="47">
                  <c:v>0.81726196833449516</c:v>
                </c:pt>
                <c:pt idx="48">
                  <c:v>0.84604490581234515</c:v>
                </c:pt>
                <c:pt idx="49">
                  <c:v>0.87053681344824541</c:v>
                </c:pt>
                <c:pt idx="50">
                  <c:v>0.8946619447736831</c:v>
                </c:pt>
                <c:pt idx="51">
                  <c:v>0.88312615259611948</c:v>
                </c:pt>
                <c:pt idx="52">
                  <c:v>0.9335434801206336</c:v>
                </c:pt>
                <c:pt idx="53">
                  <c:v>0.92717470323187134</c:v>
                </c:pt>
                <c:pt idx="54">
                  <c:v>0.918172512677776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9C-4940-942E-D4F5D81DD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162344"/>
        <c:axId val="786165944"/>
      </c:scatterChart>
      <c:valAx>
        <c:axId val="786162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US" sz="2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(days)</a:t>
                </a:r>
                <a:endParaRPr lang="en-US" sz="20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6165944"/>
        <c:crosses val="autoZero"/>
        <c:crossBetween val="midCat"/>
        <c:majorUnit val="14"/>
      </c:valAx>
      <c:valAx>
        <c:axId val="786165944"/>
        <c:scaling>
          <c:orientation val="minMax"/>
          <c:max val="1.2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Carbon</a:t>
                </a:r>
                <a:r>
                  <a:rPr lang="en-US" sz="2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out/in</a:t>
                </a:r>
                <a:endParaRPr lang="en-US" sz="20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6162344"/>
        <c:crosses val="autoZero"/>
        <c:crossBetween val="midCat"/>
        <c:majorUnit val="0.1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Electron</a:t>
            </a:r>
            <a:r>
              <a:rPr lang="en-US" sz="2400" b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balance</a:t>
            </a:r>
            <a:endParaRPr lang="en-US" sz="24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Balances!$A$10:$A$64</c:f>
              <c:numCache>
                <c:formatCode>0.00</c:formatCode>
                <c:ptCount val="55"/>
                <c:pt idx="0">
                  <c:v>11.993055555554747</c:v>
                </c:pt>
                <c:pt idx="1">
                  <c:v>14.045138888890506</c:v>
                </c:pt>
                <c:pt idx="2">
                  <c:v>16.038194444445253</c:v>
                </c:pt>
                <c:pt idx="3">
                  <c:v>18.993055555554747</c:v>
                </c:pt>
                <c:pt idx="4">
                  <c:v>21.045138888890506</c:v>
                </c:pt>
                <c:pt idx="5">
                  <c:v>23.013888888890506</c:v>
                </c:pt>
                <c:pt idx="6">
                  <c:v>26.003472222226264</c:v>
                </c:pt>
                <c:pt idx="7">
                  <c:v>28.02986111111386</c:v>
                </c:pt>
                <c:pt idx="8">
                  <c:v>29.149305555554747</c:v>
                </c:pt>
                <c:pt idx="9">
                  <c:v>29.990972222221899</c:v>
                </c:pt>
                <c:pt idx="10">
                  <c:v>32.990972222221899</c:v>
                </c:pt>
                <c:pt idx="11">
                  <c:v>35.002083333332848</c:v>
                </c:pt>
                <c:pt idx="12">
                  <c:v>37.01875000000291</c:v>
                </c:pt>
                <c:pt idx="13">
                  <c:v>40.011111111110949</c:v>
                </c:pt>
                <c:pt idx="14">
                  <c:v>42.029166666667152</c:v>
                </c:pt>
                <c:pt idx="15">
                  <c:v>44.022222222221899</c:v>
                </c:pt>
                <c:pt idx="16">
                  <c:v>46.997222222220444</c:v>
                </c:pt>
                <c:pt idx="17">
                  <c:v>48.994444444448163</c:v>
                </c:pt>
                <c:pt idx="18">
                  <c:v>50.971527777779556</c:v>
                </c:pt>
                <c:pt idx="19">
                  <c:v>53.979166666664241</c:v>
                </c:pt>
                <c:pt idx="20">
                  <c:v>56.019444444442343</c:v>
                </c:pt>
                <c:pt idx="21">
                  <c:v>57.995833333334303</c:v>
                </c:pt>
                <c:pt idx="22">
                  <c:v>61.00138888888614</c:v>
                </c:pt>
                <c:pt idx="23">
                  <c:v>62.996527777781012</c:v>
                </c:pt>
                <c:pt idx="24">
                  <c:v>65.071527777778101</c:v>
                </c:pt>
                <c:pt idx="25">
                  <c:v>67.984722222223354</c:v>
                </c:pt>
                <c:pt idx="26">
                  <c:v>70.167361111110949</c:v>
                </c:pt>
                <c:pt idx="27">
                  <c:v>72.156944444446708</c:v>
                </c:pt>
                <c:pt idx="28">
                  <c:v>75.146527777775191</c:v>
                </c:pt>
                <c:pt idx="29">
                  <c:v>77.093055555553292</c:v>
                </c:pt>
                <c:pt idx="30">
                  <c:v>79.150000000001455</c:v>
                </c:pt>
                <c:pt idx="31">
                  <c:v>82.143055555556202</c:v>
                </c:pt>
                <c:pt idx="32">
                  <c:v>84.15763888888614</c:v>
                </c:pt>
                <c:pt idx="33">
                  <c:v>86.27986111111386</c:v>
                </c:pt>
                <c:pt idx="34">
                  <c:v>89.148611111115315</c:v>
                </c:pt>
                <c:pt idx="35">
                  <c:v>91.1875</c:v>
                </c:pt>
                <c:pt idx="36">
                  <c:v>93.170833333337214</c:v>
                </c:pt>
                <c:pt idx="37">
                  <c:v>96.150694444448163</c:v>
                </c:pt>
                <c:pt idx="38">
                  <c:v>98.159722222226264</c:v>
                </c:pt>
                <c:pt idx="39">
                  <c:v>100.14930555555475</c:v>
                </c:pt>
                <c:pt idx="40">
                  <c:v>103.13680555555766</c:v>
                </c:pt>
                <c:pt idx="41">
                  <c:v>105.14166666667006</c:v>
                </c:pt>
                <c:pt idx="42">
                  <c:v>107.07916666667006</c:v>
                </c:pt>
                <c:pt idx="43">
                  <c:v>110.29652777777665</c:v>
                </c:pt>
                <c:pt idx="44">
                  <c:v>112.15347222222044</c:v>
                </c:pt>
                <c:pt idx="45">
                  <c:v>113.1916666666657</c:v>
                </c:pt>
                <c:pt idx="46">
                  <c:v>114.2770833333343</c:v>
                </c:pt>
                <c:pt idx="47">
                  <c:v>117.28819444444525</c:v>
                </c:pt>
                <c:pt idx="48">
                  <c:v>119.18194444444816</c:v>
                </c:pt>
                <c:pt idx="49">
                  <c:v>121.20138888889051</c:v>
                </c:pt>
                <c:pt idx="50">
                  <c:v>124.17569444444234</c:v>
                </c:pt>
                <c:pt idx="51">
                  <c:v>126.16180555555911</c:v>
                </c:pt>
                <c:pt idx="52">
                  <c:v>128.18472222222044</c:v>
                </c:pt>
                <c:pt idx="53">
                  <c:v>131.17083333333721</c:v>
                </c:pt>
                <c:pt idx="54">
                  <c:v>132.02500000000146</c:v>
                </c:pt>
              </c:numCache>
            </c:numRef>
          </c:xVal>
          <c:yVal>
            <c:numRef>
              <c:f>Balances!$H$10:$H$64</c:f>
              <c:numCache>
                <c:formatCode>0%</c:formatCode>
                <c:ptCount val="55"/>
                <c:pt idx="0">
                  <c:v>0.88548669326413421</c:v>
                </c:pt>
                <c:pt idx="1">
                  <c:v>0.86083723838452297</c:v>
                </c:pt>
                <c:pt idx="2">
                  <c:v>0.8788817753170628</c:v>
                </c:pt>
                <c:pt idx="3">
                  <c:v>0.95226963459965364</c:v>
                </c:pt>
                <c:pt idx="4">
                  <c:v>0.9434381191145349</c:v>
                </c:pt>
                <c:pt idx="5">
                  <c:v>0.94667294185683903</c:v>
                </c:pt>
                <c:pt idx="6">
                  <c:v>0.92999145205668399</c:v>
                </c:pt>
                <c:pt idx="7">
                  <c:v>0.92612041308578896</c:v>
                </c:pt>
                <c:pt idx="8">
                  <c:v>0.45153454839182106</c:v>
                </c:pt>
                <c:pt idx="9">
                  <c:v>0.49639064599776883</c:v>
                </c:pt>
                <c:pt idx="10">
                  <c:v>1.0277106124496402</c:v>
                </c:pt>
                <c:pt idx="11">
                  <c:v>1.1542235365839149</c:v>
                </c:pt>
                <c:pt idx="12">
                  <c:v>1.1390584416839917</c:v>
                </c:pt>
                <c:pt idx="13">
                  <c:v>1.1488727047097611</c:v>
                </c:pt>
                <c:pt idx="14">
                  <c:v>1.1824254659121984</c:v>
                </c:pt>
                <c:pt idx="15">
                  <c:v>1.1776757239584932</c:v>
                </c:pt>
                <c:pt idx="16">
                  <c:v>0.97055118807098029</c:v>
                </c:pt>
                <c:pt idx="17">
                  <c:v>0.97375026917202712</c:v>
                </c:pt>
                <c:pt idx="18">
                  <c:v>0.93114422564219324</c:v>
                </c:pt>
                <c:pt idx="19">
                  <c:v>0.97487182416552198</c:v>
                </c:pt>
                <c:pt idx="20">
                  <c:v>0.92326978260579284</c:v>
                </c:pt>
                <c:pt idx="21">
                  <c:v>0.98922055910042783</c:v>
                </c:pt>
                <c:pt idx="22">
                  <c:v>0.98161520522646395</c:v>
                </c:pt>
                <c:pt idx="23">
                  <c:v>0.95622314773894002</c:v>
                </c:pt>
                <c:pt idx="24">
                  <c:v>1.0049577549608937</c:v>
                </c:pt>
                <c:pt idx="25">
                  <c:v>1.0096852788614381</c:v>
                </c:pt>
                <c:pt idx="26">
                  <c:v>1.0203209152695614</c:v>
                </c:pt>
                <c:pt idx="27">
                  <c:v>1.0280510419198436</c:v>
                </c:pt>
                <c:pt idx="28">
                  <c:v>0.91451295870324578</c:v>
                </c:pt>
                <c:pt idx="29">
                  <c:v>0.89768402316648277</c:v>
                </c:pt>
                <c:pt idx="30">
                  <c:v>0.8906684264733532</c:v>
                </c:pt>
                <c:pt idx="31">
                  <c:v>0.89643628637149297</c:v>
                </c:pt>
                <c:pt idx="32">
                  <c:v>0.94303137786689439</c:v>
                </c:pt>
                <c:pt idx="33">
                  <c:v>1.0053222456200976</c:v>
                </c:pt>
                <c:pt idx="34">
                  <c:v>0.96476507245693632</c:v>
                </c:pt>
                <c:pt idx="35">
                  <c:v>0.97683413151883602</c:v>
                </c:pt>
                <c:pt idx="36">
                  <c:v>0.98208576712956963</c:v>
                </c:pt>
                <c:pt idx="37">
                  <c:v>0.94646493298422663</c:v>
                </c:pt>
                <c:pt idx="38">
                  <c:v>0.92433863292972329</c:v>
                </c:pt>
                <c:pt idx="39">
                  <c:v>0.95151538706944772</c:v>
                </c:pt>
                <c:pt idx="40">
                  <c:v>0.91312018018198071</c:v>
                </c:pt>
                <c:pt idx="41">
                  <c:v>0.94200073782105131</c:v>
                </c:pt>
                <c:pt idx="42">
                  <c:v>0.93163916553258042</c:v>
                </c:pt>
                <c:pt idx="43">
                  <c:v>0.95342315969998259</c:v>
                </c:pt>
                <c:pt idx="44">
                  <c:v>0.91117143253694122</c:v>
                </c:pt>
                <c:pt idx="45">
                  <c:v>0.56748481924808236</c:v>
                </c:pt>
                <c:pt idx="46">
                  <c:v>0.64579947376151836</c:v>
                </c:pt>
                <c:pt idx="47">
                  <c:v>0.79365484916280893</c:v>
                </c:pt>
                <c:pt idx="48">
                  <c:v>0.84030940563426793</c:v>
                </c:pt>
                <c:pt idx="49">
                  <c:v>0.8727703331422737</c:v>
                </c:pt>
                <c:pt idx="50">
                  <c:v>0.90549180084917835</c:v>
                </c:pt>
                <c:pt idx="51">
                  <c:v>0.898531886612424</c:v>
                </c:pt>
                <c:pt idx="52">
                  <c:v>0.96375682336069102</c:v>
                </c:pt>
                <c:pt idx="53">
                  <c:v>0.95500358465542601</c:v>
                </c:pt>
                <c:pt idx="54">
                  <c:v>0.94471965906695798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6E-4F5F-B0CA-73DAC04A8F3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Balances!$A$10:$A$64</c:f>
              <c:numCache>
                <c:formatCode>0.00</c:formatCode>
                <c:ptCount val="55"/>
                <c:pt idx="0">
                  <c:v>11.993055555554747</c:v>
                </c:pt>
                <c:pt idx="1">
                  <c:v>14.045138888890506</c:v>
                </c:pt>
                <c:pt idx="2">
                  <c:v>16.038194444445253</c:v>
                </c:pt>
                <c:pt idx="3">
                  <c:v>18.993055555554747</c:v>
                </c:pt>
                <c:pt idx="4">
                  <c:v>21.045138888890506</c:v>
                </c:pt>
                <c:pt idx="5">
                  <c:v>23.013888888890506</c:v>
                </c:pt>
                <c:pt idx="6">
                  <c:v>26.003472222226264</c:v>
                </c:pt>
                <c:pt idx="7">
                  <c:v>28.02986111111386</c:v>
                </c:pt>
                <c:pt idx="8">
                  <c:v>29.149305555554747</c:v>
                </c:pt>
                <c:pt idx="9">
                  <c:v>29.990972222221899</c:v>
                </c:pt>
                <c:pt idx="10">
                  <c:v>32.990972222221899</c:v>
                </c:pt>
                <c:pt idx="11">
                  <c:v>35.002083333332848</c:v>
                </c:pt>
                <c:pt idx="12">
                  <c:v>37.01875000000291</c:v>
                </c:pt>
                <c:pt idx="13">
                  <c:v>40.011111111110949</c:v>
                </c:pt>
                <c:pt idx="14">
                  <c:v>42.029166666667152</c:v>
                </c:pt>
                <c:pt idx="15">
                  <c:v>44.022222222221899</c:v>
                </c:pt>
                <c:pt idx="16">
                  <c:v>46.997222222220444</c:v>
                </c:pt>
                <c:pt idx="17">
                  <c:v>48.994444444448163</c:v>
                </c:pt>
                <c:pt idx="18">
                  <c:v>50.971527777779556</c:v>
                </c:pt>
                <c:pt idx="19">
                  <c:v>53.979166666664241</c:v>
                </c:pt>
                <c:pt idx="20">
                  <c:v>56.019444444442343</c:v>
                </c:pt>
                <c:pt idx="21">
                  <c:v>57.995833333334303</c:v>
                </c:pt>
                <c:pt idx="22">
                  <c:v>61.00138888888614</c:v>
                </c:pt>
                <c:pt idx="23">
                  <c:v>62.996527777781012</c:v>
                </c:pt>
                <c:pt idx="24">
                  <c:v>65.071527777778101</c:v>
                </c:pt>
                <c:pt idx="25">
                  <c:v>67.984722222223354</c:v>
                </c:pt>
                <c:pt idx="26">
                  <c:v>70.167361111110949</c:v>
                </c:pt>
                <c:pt idx="27">
                  <c:v>72.156944444446708</c:v>
                </c:pt>
                <c:pt idx="28">
                  <c:v>75.146527777775191</c:v>
                </c:pt>
                <c:pt idx="29">
                  <c:v>77.093055555553292</c:v>
                </c:pt>
                <c:pt idx="30">
                  <c:v>79.150000000001455</c:v>
                </c:pt>
                <c:pt idx="31">
                  <c:v>82.143055555556202</c:v>
                </c:pt>
                <c:pt idx="32">
                  <c:v>84.15763888888614</c:v>
                </c:pt>
                <c:pt idx="33">
                  <c:v>86.27986111111386</c:v>
                </c:pt>
                <c:pt idx="34">
                  <c:v>89.148611111115315</c:v>
                </c:pt>
                <c:pt idx="35">
                  <c:v>91.1875</c:v>
                </c:pt>
                <c:pt idx="36">
                  <c:v>93.170833333337214</c:v>
                </c:pt>
                <c:pt idx="37">
                  <c:v>96.150694444448163</c:v>
                </c:pt>
                <c:pt idx="38">
                  <c:v>98.159722222226264</c:v>
                </c:pt>
                <c:pt idx="39">
                  <c:v>100.14930555555475</c:v>
                </c:pt>
                <c:pt idx="40">
                  <c:v>103.13680555555766</c:v>
                </c:pt>
                <c:pt idx="41">
                  <c:v>105.14166666667006</c:v>
                </c:pt>
                <c:pt idx="42">
                  <c:v>107.07916666667006</c:v>
                </c:pt>
                <c:pt idx="43">
                  <c:v>110.29652777777665</c:v>
                </c:pt>
                <c:pt idx="44">
                  <c:v>112.15347222222044</c:v>
                </c:pt>
                <c:pt idx="45">
                  <c:v>113.1916666666657</c:v>
                </c:pt>
                <c:pt idx="46">
                  <c:v>114.2770833333343</c:v>
                </c:pt>
                <c:pt idx="47">
                  <c:v>117.28819444444525</c:v>
                </c:pt>
                <c:pt idx="48">
                  <c:v>119.18194444444816</c:v>
                </c:pt>
                <c:pt idx="49">
                  <c:v>121.20138888889051</c:v>
                </c:pt>
                <c:pt idx="50">
                  <c:v>124.17569444444234</c:v>
                </c:pt>
                <c:pt idx="51">
                  <c:v>126.16180555555911</c:v>
                </c:pt>
                <c:pt idx="52">
                  <c:v>128.18472222222044</c:v>
                </c:pt>
                <c:pt idx="53">
                  <c:v>131.17083333333721</c:v>
                </c:pt>
                <c:pt idx="54">
                  <c:v>132.02500000000146</c:v>
                </c:pt>
              </c:numCache>
            </c:numRef>
          </c:xVal>
          <c:yVal>
            <c:numRef>
              <c:f>Balances!$I$10:$I$64</c:f>
              <c:numCache>
                <c:formatCode>General</c:formatCode>
                <c:ptCount val="55"/>
                <c:pt idx="0">
                  <c:v>88.548669326413417</c:v>
                </c:pt>
                <c:pt idx="1">
                  <c:v>86.0837238384523</c:v>
                </c:pt>
                <c:pt idx="2">
                  <c:v>87.888177531706276</c:v>
                </c:pt>
                <c:pt idx="3">
                  <c:v>95.226963459965361</c:v>
                </c:pt>
                <c:pt idx="4">
                  <c:v>94.343811911453486</c:v>
                </c:pt>
                <c:pt idx="5">
                  <c:v>94.6672941856839</c:v>
                </c:pt>
                <c:pt idx="6">
                  <c:v>92.999145205668398</c:v>
                </c:pt>
                <c:pt idx="7">
                  <c:v>92.612041308578895</c:v>
                </c:pt>
                <c:pt idx="8">
                  <c:v>45.153454839182103</c:v>
                </c:pt>
                <c:pt idx="9">
                  <c:v>49.63906459977688</c:v>
                </c:pt>
                <c:pt idx="10">
                  <c:v>102.77106124496402</c:v>
                </c:pt>
                <c:pt idx="11">
                  <c:v>115.42235365839149</c:v>
                </c:pt>
                <c:pt idx="12">
                  <c:v>113.90584416839917</c:v>
                </c:pt>
                <c:pt idx="13">
                  <c:v>114.88727047097611</c:v>
                </c:pt>
                <c:pt idx="14">
                  <c:v>118.24254659121985</c:v>
                </c:pt>
                <c:pt idx="15">
                  <c:v>117.76757239584931</c:v>
                </c:pt>
                <c:pt idx="16">
                  <c:v>97.055118807098026</c:v>
                </c:pt>
                <c:pt idx="17">
                  <c:v>97.375026917202717</c:v>
                </c:pt>
                <c:pt idx="18">
                  <c:v>93.114422564219325</c:v>
                </c:pt>
                <c:pt idx="19">
                  <c:v>97.487182416552201</c:v>
                </c:pt>
                <c:pt idx="20">
                  <c:v>92.326978260579281</c:v>
                </c:pt>
                <c:pt idx="21">
                  <c:v>98.922055910042786</c:v>
                </c:pt>
                <c:pt idx="22">
                  <c:v>98.161520522646398</c:v>
                </c:pt>
                <c:pt idx="23">
                  <c:v>95.622314773894004</c:v>
                </c:pt>
                <c:pt idx="24">
                  <c:v>100.49577549608937</c:v>
                </c:pt>
                <c:pt idx="25">
                  <c:v>100.96852788614382</c:v>
                </c:pt>
                <c:pt idx="26">
                  <c:v>102.03209152695614</c:v>
                </c:pt>
                <c:pt idx="27">
                  <c:v>102.80510419198437</c:v>
                </c:pt>
                <c:pt idx="28">
                  <c:v>91.451295870324572</c:v>
                </c:pt>
                <c:pt idx="29">
                  <c:v>89.768402316648277</c:v>
                </c:pt>
                <c:pt idx="30">
                  <c:v>89.066842647335321</c:v>
                </c:pt>
                <c:pt idx="31">
                  <c:v>89.643628637149291</c:v>
                </c:pt>
                <c:pt idx="32">
                  <c:v>94.303137786689433</c:v>
                </c:pt>
                <c:pt idx="33">
                  <c:v>100.53222456200976</c:v>
                </c:pt>
                <c:pt idx="34">
                  <c:v>96.476507245693625</c:v>
                </c:pt>
                <c:pt idx="35">
                  <c:v>97.683413151883599</c:v>
                </c:pt>
                <c:pt idx="36">
                  <c:v>98.208576712956969</c:v>
                </c:pt>
                <c:pt idx="37">
                  <c:v>94.646493298422669</c:v>
                </c:pt>
                <c:pt idx="38">
                  <c:v>92.433863292972333</c:v>
                </c:pt>
                <c:pt idx="39">
                  <c:v>95.151538706944777</c:v>
                </c:pt>
                <c:pt idx="40">
                  <c:v>91.312018018198074</c:v>
                </c:pt>
                <c:pt idx="41">
                  <c:v>94.200073782105136</c:v>
                </c:pt>
                <c:pt idx="42">
                  <c:v>93.163916553258048</c:v>
                </c:pt>
                <c:pt idx="43">
                  <c:v>95.342315969998253</c:v>
                </c:pt>
                <c:pt idx="44">
                  <c:v>91.117143253694124</c:v>
                </c:pt>
                <c:pt idx="45">
                  <c:v>56.748481924808239</c:v>
                </c:pt>
                <c:pt idx="46">
                  <c:v>64.579947376151836</c:v>
                </c:pt>
                <c:pt idx="47">
                  <c:v>79.365484916280892</c:v>
                </c:pt>
                <c:pt idx="48">
                  <c:v>84.030940563426796</c:v>
                </c:pt>
                <c:pt idx="49">
                  <c:v>87.277033314227367</c:v>
                </c:pt>
                <c:pt idx="50">
                  <c:v>90.549180084917836</c:v>
                </c:pt>
                <c:pt idx="51">
                  <c:v>89.853188661242399</c:v>
                </c:pt>
                <c:pt idx="52">
                  <c:v>96.375682336069104</c:v>
                </c:pt>
                <c:pt idx="53">
                  <c:v>95.500358465542604</c:v>
                </c:pt>
                <c:pt idx="54">
                  <c:v>94.4719659066958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7-40CC-8991-FF1A37F3B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277456"/>
        <c:axId val="856279616"/>
      </c:scatterChart>
      <c:valAx>
        <c:axId val="856277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6279616"/>
        <c:crosses val="autoZero"/>
        <c:crossBetween val="midCat"/>
        <c:majorUnit val="14"/>
      </c:valAx>
      <c:valAx>
        <c:axId val="856279616"/>
        <c:scaling>
          <c:orientation val="minMax"/>
          <c:max val="1.2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Electrons out/in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6277456"/>
        <c:crosses val="autoZero"/>
        <c:crossBetween val="midCat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388620</xdr:colOff>
      <xdr:row>6</xdr:row>
      <xdr:rowOff>178116</xdr:rowOff>
    </xdr:from>
    <xdr:to>
      <xdr:col>16</xdr:col>
      <xdr:colOff>209550</xdr:colOff>
      <xdr:row>27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346265-28A0-3F54-0A9D-E03215BD04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217170</xdr:colOff>
      <xdr:row>29</xdr:row>
      <xdr:rowOff>77152</xdr:rowOff>
    </xdr:from>
    <xdr:to>
      <xdr:col>14</xdr:col>
      <xdr:colOff>601980</xdr:colOff>
      <xdr:row>50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EBE9B5-5DEF-6309-6DCF-0D01E5FC59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294433</xdr:colOff>
      <xdr:row>28</xdr:row>
      <xdr:rowOff>176563</xdr:rowOff>
    </xdr:from>
    <xdr:to>
      <xdr:col>46</xdr:col>
      <xdr:colOff>421008</xdr:colOff>
      <xdr:row>52</xdr:row>
      <xdr:rowOff>82091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178928-0D4E-477E-A86E-F27F2D0DA3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250988</xdr:colOff>
      <xdr:row>53</xdr:row>
      <xdr:rowOff>132750</xdr:rowOff>
    </xdr:from>
    <xdr:to>
      <xdr:col>43</xdr:col>
      <xdr:colOff>334211</xdr:colOff>
      <xdr:row>75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99D4BA-788A-4057-A2A9-CE05625B9A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525345</xdr:colOff>
      <xdr:row>1</xdr:row>
      <xdr:rowOff>575180</xdr:rowOff>
    </xdr:from>
    <xdr:to>
      <xdr:col>50</xdr:col>
      <xdr:colOff>20111</xdr:colOff>
      <xdr:row>26</xdr:row>
      <xdr:rowOff>114027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E5AD3F3-3725-8122-7B78-35ABFB67B3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133350</xdr:colOff>
      <xdr:row>9</xdr:row>
      <xdr:rowOff>125730</xdr:rowOff>
    </xdr:from>
    <xdr:to>
      <xdr:col>29</xdr:col>
      <xdr:colOff>47625</xdr:colOff>
      <xdr:row>32</xdr:row>
      <xdr:rowOff>43815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770012-AA71-66D1-C8D3-C1E02F90DC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160972</xdr:colOff>
      <xdr:row>33</xdr:row>
      <xdr:rowOff>49530</xdr:rowOff>
    </xdr:from>
    <xdr:to>
      <xdr:col>29</xdr:col>
      <xdr:colOff>28575</xdr:colOff>
      <xdr:row>54</xdr:row>
      <xdr:rowOff>20955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B805C2-3920-6141-A581-DDA758484D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wageningenur4-my.sharepoint.com/personal/yong_jin_wur_nl/Documents/Experimental%20plan/1_PHA%20experiments/3-CSTR/paper%20wrting%20for%20the%20CSTR/0-Dataset%20for%20CSTR.xlsx" TargetMode="External"/><Relationship Id="rId1" Type="http://schemas.openxmlformats.org/officeDocument/2006/relationships/externalLinkPath" Target="0-Dataset%20for%20CST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sic info"/>
      <sheetName val="Experimental plan for CSTR"/>
      <sheetName val="Rawdata"/>
      <sheetName val="pH"/>
      <sheetName val="GC-01"/>
      <sheetName val="HPLC"/>
      <sheetName val="GC-05&amp;06"/>
      <sheetName val="HRT"/>
      <sheetName val="Gas"/>
      <sheetName val="Figures"/>
      <sheetName val="Hydrothermal pretreatment"/>
      <sheetName val="N2-CO2"/>
    </sheetNames>
    <sheetDataSet>
      <sheetData sheetId="0" refreshError="1"/>
      <sheetData sheetId="1" refreshError="1"/>
      <sheetData sheetId="2" refreshError="1">
        <row r="5">
          <cell r="F5">
            <v>5.95</v>
          </cell>
          <cell r="G5">
            <v>0</v>
          </cell>
          <cell r="X5">
            <v>45434.399305555555</v>
          </cell>
        </row>
        <row r="6">
          <cell r="G6">
            <v>89695</v>
          </cell>
          <cell r="X6">
            <v>45436.378472222219</v>
          </cell>
        </row>
        <row r="7">
          <cell r="G7">
            <v>225706</v>
          </cell>
          <cell r="X7">
            <v>45439.402777777781</v>
          </cell>
        </row>
        <row r="8">
          <cell r="G8">
            <v>313955</v>
          </cell>
          <cell r="X8">
            <v>45441.415277777778</v>
          </cell>
        </row>
        <row r="9">
          <cell r="G9">
            <v>405321</v>
          </cell>
          <cell r="X9">
            <v>45443.487500000003</v>
          </cell>
        </row>
        <row r="10">
          <cell r="G10">
            <v>413561</v>
          </cell>
          <cell r="X10">
            <v>45443.673611111109</v>
          </cell>
        </row>
        <row r="11">
          <cell r="G11">
            <v>537235</v>
          </cell>
          <cell r="X11">
            <v>45446.392361111109</v>
          </cell>
        </row>
        <row r="12">
          <cell r="G12">
            <v>630841</v>
          </cell>
          <cell r="X12">
            <v>45448.444444444445</v>
          </cell>
        </row>
        <row r="13">
          <cell r="G13">
            <v>722837</v>
          </cell>
          <cell r="X13">
            <v>45450.4375</v>
          </cell>
        </row>
        <row r="14">
          <cell r="G14">
            <v>858329</v>
          </cell>
          <cell r="X14">
            <v>45453.392361111109</v>
          </cell>
        </row>
        <row r="15">
          <cell r="G15">
            <v>951381</v>
          </cell>
          <cell r="X15">
            <v>45455.444444444445</v>
          </cell>
        </row>
        <row r="16">
          <cell r="G16">
            <v>1039581</v>
          </cell>
          <cell r="X16">
            <v>45457.413194444445</v>
          </cell>
        </row>
        <row r="17">
          <cell r="G17">
            <v>1173617</v>
          </cell>
          <cell r="X17">
            <v>45460.402777777781</v>
          </cell>
        </row>
        <row r="18">
          <cell r="G18">
            <v>1264226</v>
          </cell>
          <cell r="X18">
            <v>45462.429166666669</v>
          </cell>
        </row>
        <row r="19">
          <cell r="G19">
            <v>1314317</v>
          </cell>
          <cell r="X19">
            <v>45463.548611111109</v>
          </cell>
        </row>
        <row r="20">
          <cell r="G20">
            <v>1352177</v>
          </cell>
          <cell r="X20">
            <v>45464.390277777777</v>
          </cell>
        </row>
        <row r="21">
          <cell r="G21">
            <v>1487761</v>
          </cell>
          <cell r="X21">
            <v>45467.390277777777</v>
          </cell>
        </row>
        <row r="22">
          <cell r="G22">
            <v>1577993</v>
          </cell>
          <cell r="X22">
            <v>45469.401388888888</v>
          </cell>
        </row>
        <row r="23">
          <cell r="G23">
            <v>1669145</v>
          </cell>
          <cell r="X23">
            <v>45471.418055555558</v>
          </cell>
        </row>
        <row r="24">
          <cell r="G24">
            <v>1795749</v>
          </cell>
          <cell r="X24">
            <v>45474.410416666666</v>
          </cell>
        </row>
        <row r="25">
          <cell r="G25">
            <v>1879250</v>
          </cell>
          <cell r="X25">
            <v>45476.428472222222</v>
          </cell>
        </row>
        <row r="26">
          <cell r="G26">
            <v>1963208</v>
          </cell>
          <cell r="X26">
            <v>45478.421527777777</v>
          </cell>
        </row>
        <row r="27">
          <cell r="G27">
            <v>2092785</v>
          </cell>
          <cell r="X27">
            <v>45481.396527777775</v>
          </cell>
        </row>
        <row r="28">
          <cell r="G28">
            <v>2177724</v>
          </cell>
          <cell r="X28">
            <v>45483.393750000003</v>
          </cell>
        </row>
        <row r="29">
          <cell r="G29">
            <v>2259473</v>
          </cell>
          <cell r="X29">
            <v>45485.370833333334</v>
          </cell>
        </row>
        <row r="30">
          <cell r="G30">
            <v>2381755</v>
          </cell>
          <cell r="X30">
            <v>45488.378472222219</v>
          </cell>
        </row>
        <row r="31">
          <cell r="G31">
            <v>2391837</v>
          </cell>
          <cell r="X31">
            <v>45488.625</v>
          </cell>
        </row>
        <row r="32">
          <cell r="G32">
            <v>2471133</v>
          </cell>
          <cell r="X32">
            <v>45490.418749999997</v>
          </cell>
        </row>
        <row r="33">
          <cell r="G33">
            <v>2559691</v>
          </cell>
          <cell r="X33">
            <v>45492.395138888889</v>
          </cell>
        </row>
        <row r="34">
          <cell r="G34">
            <v>2693833</v>
          </cell>
          <cell r="X34">
            <v>45495.400694444441</v>
          </cell>
        </row>
        <row r="35">
          <cell r="G35">
            <v>2783745</v>
          </cell>
          <cell r="X35">
            <v>45497.395833333336</v>
          </cell>
        </row>
        <row r="36">
          <cell r="G36">
            <v>2878307</v>
          </cell>
          <cell r="X36">
            <v>45499.470833333333</v>
          </cell>
        </row>
        <row r="37">
          <cell r="G37">
            <v>3014333</v>
          </cell>
          <cell r="X37">
            <v>45502.384027777778</v>
          </cell>
        </row>
        <row r="38">
          <cell r="G38">
            <v>3115929</v>
          </cell>
          <cell r="X38">
            <v>45504.566666666666</v>
          </cell>
        </row>
        <row r="39">
          <cell r="G39">
            <v>3208306</v>
          </cell>
          <cell r="X39">
            <v>45506.556250000001</v>
          </cell>
        </row>
        <row r="40">
          <cell r="G40">
            <v>3351674</v>
          </cell>
          <cell r="X40">
            <v>45509.54583333333</v>
          </cell>
        </row>
        <row r="41">
          <cell r="G41">
            <v>3447370</v>
          </cell>
          <cell r="X41">
            <v>45511.492361111108</v>
          </cell>
        </row>
        <row r="42">
          <cell r="G42">
            <v>3548905</v>
          </cell>
          <cell r="X42">
            <v>45513.549305555556</v>
          </cell>
        </row>
        <row r="43">
          <cell r="G43">
            <v>3697300</v>
          </cell>
          <cell r="X43">
            <v>45516.542361111111</v>
          </cell>
        </row>
        <row r="44">
          <cell r="G44">
            <v>3798441</v>
          </cell>
          <cell r="X44">
            <v>45518.556944444441</v>
          </cell>
        </row>
        <row r="45">
          <cell r="G45">
            <v>3903198</v>
          </cell>
          <cell r="X45">
            <v>45520.679166666669</v>
          </cell>
        </row>
        <row r="46">
          <cell r="G46">
            <v>4047148</v>
          </cell>
          <cell r="X46">
            <v>45523.54791666667</v>
          </cell>
        </row>
        <row r="47">
          <cell r="G47">
            <v>4151409</v>
          </cell>
          <cell r="X47">
            <v>45525.586805555555</v>
          </cell>
        </row>
        <row r="48">
          <cell r="G48">
            <v>4254358</v>
          </cell>
          <cell r="X48">
            <v>45527.570138888892</v>
          </cell>
        </row>
        <row r="49">
          <cell r="G49">
            <v>4407865</v>
          </cell>
          <cell r="X49">
            <v>45530.55</v>
          </cell>
        </row>
        <row r="50">
          <cell r="G50">
            <v>4508235</v>
          </cell>
          <cell r="X50">
            <v>45532.559027777781</v>
          </cell>
        </row>
        <row r="51">
          <cell r="G51">
            <v>4607418</v>
          </cell>
          <cell r="X51">
            <v>45534.548611111109</v>
          </cell>
        </row>
        <row r="52">
          <cell r="G52">
            <v>4756136</v>
          </cell>
          <cell r="X52">
            <v>45537.536111111112</v>
          </cell>
        </row>
        <row r="53">
          <cell r="G53">
            <v>4856595</v>
          </cell>
          <cell r="X53">
            <v>45539.540972222225</v>
          </cell>
        </row>
        <row r="54">
          <cell r="G54">
            <v>4953333</v>
          </cell>
          <cell r="X54">
            <v>45541.478472222225</v>
          </cell>
        </row>
        <row r="55">
          <cell r="G55">
            <v>5113425</v>
          </cell>
          <cell r="X55">
            <v>45544.695833333331</v>
          </cell>
        </row>
        <row r="56">
          <cell r="G56">
            <v>5203023</v>
          </cell>
          <cell r="X56">
            <v>45546.552777777775</v>
          </cell>
        </row>
        <row r="57">
          <cell r="G57">
            <v>5250011</v>
          </cell>
          <cell r="X57">
            <v>45547.59097222222</v>
          </cell>
        </row>
        <row r="58">
          <cell r="G58">
            <v>5300369</v>
          </cell>
          <cell r="X58">
            <v>45548.676388888889</v>
          </cell>
        </row>
        <row r="59">
          <cell r="G59">
            <v>5434198</v>
          </cell>
          <cell r="X59">
            <v>45551.6875</v>
          </cell>
        </row>
        <row r="60">
          <cell r="G60">
            <v>5519136</v>
          </cell>
          <cell r="X60">
            <v>45553.581250000003</v>
          </cell>
        </row>
        <row r="61">
          <cell r="G61">
            <v>5608444</v>
          </cell>
          <cell r="X61">
            <v>45555.600694444445</v>
          </cell>
        </row>
        <row r="62">
          <cell r="G62">
            <v>5746273</v>
          </cell>
          <cell r="X62">
            <v>45558.574999999997</v>
          </cell>
        </row>
        <row r="63">
          <cell r="G63">
            <v>5836905</v>
          </cell>
          <cell r="X63">
            <v>45560.561111111114</v>
          </cell>
        </row>
        <row r="64">
          <cell r="G64">
            <v>5922610</v>
          </cell>
          <cell r="X64">
            <v>45562.584027777775</v>
          </cell>
        </row>
        <row r="65">
          <cell r="G65">
            <v>6045047</v>
          </cell>
          <cell r="X65">
            <v>45565.570138888892</v>
          </cell>
        </row>
        <row r="66">
          <cell r="G66">
            <v>6081139</v>
          </cell>
          <cell r="X66">
            <v>45566.424305555556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9DD6E-6B0E-4CAE-B092-BCAD5DE04FE3}">
  <dimension ref="B1:AI177"/>
  <sheetViews>
    <sheetView topLeftCell="A12" zoomScale="93" zoomScaleNormal="93" workbookViewId="0">
      <selection activeCell="C20" sqref="C20"/>
    </sheetView>
  </sheetViews>
  <sheetFormatPr defaultColWidth="9" defaultRowHeight="15.75"/>
  <cols>
    <col min="1" max="1" width="10.42578125" style="2" customWidth="1"/>
    <col min="2" max="2" width="23.5703125" style="1" customWidth="1"/>
    <col min="3" max="3" width="15.85546875" style="2" customWidth="1"/>
    <col min="4" max="4" width="15" style="3" customWidth="1"/>
    <col min="5" max="5" width="18.7109375" style="3" bestFit="1" customWidth="1"/>
    <col min="6" max="6" width="21" style="2" bestFit="1" customWidth="1"/>
    <col min="7" max="8" width="11.140625" style="2" customWidth="1"/>
    <col min="9" max="9" width="9" style="2"/>
    <col min="10" max="10" width="10.140625" style="2" bestFit="1" customWidth="1"/>
    <col min="11" max="16384" width="9" style="2"/>
  </cols>
  <sheetData>
    <row r="1" spans="2:35">
      <c r="F1" s="239" t="s">
        <v>0</v>
      </c>
      <c r="G1" s="239"/>
      <c r="H1" s="239"/>
      <c r="I1" s="239"/>
      <c r="J1" s="239"/>
    </row>
    <row r="2" spans="2:35" s="4" customFormat="1" ht="30" customHeight="1">
      <c r="B2" s="4" t="s">
        <v>1</v>
      </c>
      <c r="C2" s="4" t="s">
        <v>2</v>
      </c>
      <c r="D2" s="5" t="s">
        <v>3</v>
      </c>
      <c r="E2" s="5" t="s">
        <v>4</v>
      </c>
      <c r="F2" s="4" t="s">
        <v>5</v>
      </c>
      <c r="G2" s="4" t="s">
        <v>6</v>
      </c>
      <c r="H2" s="4" t="s">
        <v>7</v>
      </c>
      <c r="I2" s="6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2:35" ht="27" customHeight="1">
      <c r="B3" s="1" t="s">
        <v>13</v>
      </c>
      <c r="C3" s="2">
        <v>60.05</v>
      </c>
      <c r="D3" s="3">
        <v>2</v>
      </c>
      <c r="E3" s="3">
        <v>8</v>
      </c>
      <c r="F3" s="3">
        <f>E3/D3</f>
        <v>4</v>
      </c>
      <c r="G3" s="2">
        <v>4.76</v>
      </c>
      <c r="H3" s="2">
        <v>-369.41</v>
      </c>
      <c r="I3" s="8">
        <f>32*2/60</f>
        <v>1.0666666666666667</v>
      </c>
      <c r="J3" s="9">
        <v>456.12</v>
      </c>
      <c r="K3" s="9">
        <v>46.1</v>
      </c>
      <c r="L3" s="9">
        <v>107.7</v>
      </c>
      <c r="M3" s="9">
        <v>5</v>
      </c>
    </row>
    <row r="4" spans="2:35" ht="27" customHeight="1">
      <c r="B4" s="1" t="s">
        <v>14</v>
      </c>
      <c r="C4" s="2">
        <v>74.08</v>
      </c>
      <c r="D4" s="3">
        <v>3</v>
      </c>
      <c r="E4" s="3">
        <v>14</v>
      </c>
      <c r="F4" s="3">
        <f t="shared" ref="F4:F20" si="0">E4/D4</f>
        <v>4.666666666666667</v>
      </c>
      <c r="G4" s="2">
        <v>4.88</v>
      </c>
      <c r="I4" s="8">
        <f>32*3.5/74</f>
        <v>1.5135135135135136</v>
      </c>
      <c r="J4" s="9">
        <v>360.72</v>
      </c>
      <c r="K4" s="9">
        <v>36.4</v>
      </c>
      <c r="L4" s="9">
        <v>79.3</v>
      </c>
      <c r="M4" s="9">
        <v>5</v>
      </c>
    </row>
    <row r="5" spans="2:35" ht="27" customHeight="1">
      <c r="B5" s="1" t="s">
        <v>15</v>
      </c>
      <c r="C5" s="2">
        <v>88.11</v>
      </c>
      <c r="D5" s="3">
        <v>4</v>
      </c>
      <c r="E5" s="3">
        <v>20</v>
      </c>
      <c r="F5" s="3">
        <f t="shared" si="0"/>
        <v>5</v>
      </c>
      <c r="G5" s="2">
        <v>4.82</v>
      </c>
      <c r="I5" s="8">
        <f>32*5/88</f>
        <v>1.8181818181818181</v>
      </c>
      <c r="J5" s="9">
        <v>362.7</v>
      </c>
      <c r="K5" s="9">
        <v>36.6</v>
      </c>
      <c r="L5" s="9">
        <v>71.5</v>
      </c>
      <c r="M5" s="9">
        <v>4</v>
      </c>
    </row>
    <row r="6" spans="2:35" ht="27" customHeight="1">
      <c r="B6" s="1" t="s">
        <v>16</v>
      </c>
      <c r="C6" s="2">
        <v>88.11</v>
      </c>
      <c r="D6" s="3">
        <v>4</v>
      </c>
      <c r="E6" s="3">
        <v>20</v>
      </c>
      <c r="F6" s="3">
        <f t="shared" si="0"/>
        <v>5</v>
      </c>
      <c r="G6" s="2">
        <v>4.82</v>
      </c>
      <c r="H6" s="2">
        <v>-352.63</v>
      </c>
      <c r="I6" s="8">
        <f>32*5/88</f>
        <v>1.8181818181818181</v>
      </c>
      <c r="J6" s="9">
        <v>361.08</v>
      </c>
      <c r="K6" s="9">
        <v>36.5</v>
      </c>
      <c r="L6" s="9">
        <v>73.099999999999994</v>
      </c>
      <c r="M6" s="9">
        <v>4</v>
      </c>
    </row>
    <row r="7" spans="2:35" ht="27" customHeight="1">
      <c r="B7" s="1" t="s">
        <v>17</v>
      </c>
      <c r="C7" s="2">
        <v>102.13</v>
      </c>
      <c r="D7" s="3">
        <v>5</v>
      </c>
      <c r="E7" s="3">
        <v>26</v>
      </c>
      <c r="F7" s="3">
        <f t="shared" si="0"/>
        <v>5.2</v>
      </c>
      <c r="G7" s="2">
        <v>4.82</v>
      </c>
      <c r="I7" s="8">
        <f>32*6.5/102</f>
        <v>2.0392156862745097</v>
      </c>
      <c r="J7" s="9">
        <v>183.06</v>
      </c>
      <c r="K7" s="9">
        <v>18.5</v>
      </c>
      <c r="L7" s="9">
        <v>41.6</v>
      </c>
      <c r="M7" s="9">
        <v>3</v>
      </c>
    </row>
    <row r="8" spans="2:35" ht="27" customHeight="1">
      <c r="B8" s="1" t="s">
        <v>18</v>
      </c>
      <c r="C8" s="2">
        <v>102.13</v>
      </c>
      <c r="D8" s="3">
        <v>5</v>
      </c>
      <c r="E8" s="3">
        <v>26</v>
      </c>
      <c r="F8" s="3">
        <f t="shared" si="0"/>
        <v>5.2</v>
      </c>
      <c r="G8" s="2">
        <v>4.82</v>
      </c>
      <c r="I8" s="8">
        <f>32*6.5/102</f>
        <v>2.0392156862745097</v>
      </c>
      <c r="J8" s="9">
        <v>180.18</v>
      </c>
      <c r="K8" s="9">
        <v>18.2</v>
      </c>
      <c r="L8" s="9">
        <v>44.3</v>
      </c>
      <c r="M8" s="9">
        <v>3</v>
      </c>
    </row>
    <row r="9" spans="2:35" ht="27" customHeight="1">
      <c r="B9" s="1" t="s">
        <v>19</v>
      </c>
      <c r="C9" s="2">
        <v>116.16</v>
      </c>
      <c r="D9" s="3">
        <v>6</v>
      </c>
      <c r="E9" s="3">
        <v>32</v>
      </c>
      <c r="F9" s="3">
        <f t="shared" si="0"/>
        <v>5.333333333333333</v>
      </c>
      <c r="G9" s="2">
        <v>4.88</v>
      </c>
      <c r="I9" s="8">
        <f>32*8/116</f>
        <v>2.2068965517241379</v>
      </c>
      <c r="J9" s="9">
        <v>91.08</v>
      </c>
      <c r="K9" s="9">
        <v>9.1999999999999993</v>
      </c>
      <c r="L9" s="9">
        <v>17</v>
      </c>
      <c r="M9" s="9">
        <v>2</v>
      </c>
    </row>
    <row r="10" spans="2:35" ht="27" customHeight="1">
      <c r="B10" s="1" t="s">
        <v>20</v>
      </c>
      <c r="C10" s="2">
        <v>116.16</v>
      </c>
      <c r="D10" s="3">
        <v>6</v>
      </c>
      <c r="E10" s="3">
        <v>32</v>
      </c>
      <c r="F10" s="3">
        <f t="shared" si="0"/>
        <v>5.333333333333333</v>
      </c>
      <c r="G10" s="2">
        <v>4.88</v>
      </c>
      <c r="H10" s="2">
        <v>-335.96</v>
      </c>
      <c r="I10" s="8">
        <f>32*8/116</f>
        <v>2.2068965517241379</v>
      </c>
      <c r="J10" s="9">
        <v>92.7</v>
      </c>
      <c r="K10" s="9">
        <v>9.4</v>
      </c>
      <c r="L10" s="9">
        <v>17.2</v>
      </c>
      <c r="M10" s="9">
        <v>2</v>
      </c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</row>
    <row r="11" spans="2:35" ht="27" customHeight="1">
      <c r="B11" s="1" t="s">
        <v>21</v>
      </c>
      <c r="C11" s="2">
        <v>86.09</v>
      </c>
      <c r="D11" s="3">
        <v>4</v>
      </c>
      <c r="E11" s="3">
        <v>18</v>
      </c>
      <c r="F11" s="3">
        <f t="shared" si="0"/>
        <v>4.5</v>
      </c>
      <c r="G11" s="2">
        <v>4.8170000000000002</v>
      </c>
      <c r="I11" s="8">
        <f>152/86</f>
        <v>1.7674418604651163</v>
      </c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</row>
    <row r="12" spans="2:35" ht="27" customHeight="1">
      <c r="B12" s="1" t="s">
        <v>22</v>
      </c>
      <c r="C12" s="2">
        <v>104.1045</v>
      </c>
      <c r="D12" s="3">
        <v>4</v>
      </c>
      <c r="E12" s="3">
        <v>18</v>
      </c>
      <c r="F12" s="3">
        <f t="shared" si="0"/>
        <v>4.5</v>
      </c>
      <c r="G12" s="2">
        <v>4.41</v>
      </c>
      <c r="I12" s="8">
        <f>4.5*32/104</f>
        <v>1.3846153846153846</v>
      </c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</row>
    <row r="13" spans="2:35" ht="27" customHeight="1">
      <c r="B13" s="1" t="s">
        <v>23</v>
      </c>
      <c r="C13" s="2">
        <v>90.08</v>
      </c>
      <c r="D13" s="3">
        <v>3</v>
      </c>
      <c r="E13" s="3">
        <v>12</v>
      </c>
      <c r="F13" s="3">
        <f t="shared" si="0"/>
        <v>4</v>
      </c>
      <c r="G13" s="2">
        <v>3.85</v>
      </c>
      <c r="I13" s="8">
        <f>32*3/90</f>
        <v>1.0666666666666667</v>
      </c>
      <c r="P13" s="154"/>
      <c r="Q13" s="154"/>
      <c r="R13" s="154"/>
      <c r="S13" s="155"/>
      <c r="T13" s="154"/>
      <c r="U13" s="154"/>
      <c r="V13" s="154"/>
      <c r="W13" s="154"/>
      <c r="X13" s="155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</row>
    <row r="14" spans="2:35" ht="27" customHeight="1">
      <c r="B14" s="1" t="s">
        <v>24</v>
      </c>
      <c r="C14" s="2">
        <v>46.067999999999998</v>
      </c>
      <c r="D14" s="3">
        <v>2</v>
      </c>
      <c r="E14" s="3">
        <v>12</v>
      </c>
      <c r="F14" s="2">
        <f t="shared" si="0"/>
        <v>6</v>
      </c>
      <c r="I14" s="2">
        <v>2.08</v>
      </c>
      <c r="N14" s="8"/>
      <c r="O14" s="158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</row>
    <row r="15" spans="2:35" ht="27" customHeight="1">
      <c r="B15" s="1" t="s">
        <v>25</v>
      </c>
      <c r="C15" s="2">
        <v>74.12</v>
      </c>
      <c r="D15" s="3">
        <v>4</v>
      </c>
      <c r="E15" s="3">
        <v>24</v>
      </c>
      <c r="F15" s="2">
        <f t="shared" si="0"/>
        <v>6</v>
      </c>
      <c r="I15" s="2">
        <v>2.5945945945945947</v>
      </c>
      <c r="P15" s="159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</row>
    <row r="16" spans="2:35" ht="27" customHeight="1">
      <c r="B16" s="1" t="s">
        <v>26</v>
      </c>
      <c r="C16" s="2">
        <v>118.13</v>
      </c>
      <c r="D16" s="3">
        <v>5</v>
      </c>
      <c r="E16" s="3">
        <v>24</v>
      </c>
      <c r="F16" s="2">
        <f t="shared" si="0"/>
        <v>4.8</v>
      </c>
      <c r="I16" s="2">
        <v>1.3846153846153846</v>
      </c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</row>
    <row r="17" spans="2:35" ht="27" customHeight="1">
      <c r="B17" s="1" t="s">
        <v>27</v>
      </c>
      <c r="C17" s="2">
        <v>2.02</v>
      </c>
      <c r="D17" s="3">
        <v>0</v>
      </c>
      <c r="E17" s="3">
        <v>2</v>
      </c>
      <c r="F17" s="2">
        <v>0</v>
      </c>
      <c r="I17" s="2">
        <v>8</v>
      </c>
      <c r="P17" s="154"/>
      <c r="Q17" s="154"/>
      <c r="R17" s="154"/>
      <c r="S17" s="154"/>
      <c r="T17" s="154"/>
      <c r="U17" s="154"/>
      <c r="V17" s="156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</row>
    <row r="18" spans="2:35" ht="27" customHeight="1">
      <c r="B18" s="1" t="s">
        <v>28</v>
      </c>
      <c r="C18" s="2">
        <v>44</v>
      </c>
      <c r="D18" s="3">
        <v>1</v>
      </c>
      <c r="E18" s="3">
        <v>0</v>
      </c>
      <c r="F18" s="2">
        <f t="shared" si="0"/>
        <v>0</v>
      </c>
      <c r="I18" s="2">
        <v>0</v>
      </c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</row>
    <row r="19" spans="2:35" ht="27" customHeight="1">
      <c r="B19" s="1" t="s">
        <v>29</v>
      </c>
      <c r="C19" s="2">
        <v>16.04</v>
      </c>
      <c r="D19" s="3">
        <v>1</v>
      </c>
      <c r="E19" s="3">
        <v>8</v>
      </c>
      <c r="F19" s="2">
        <f t="shared" si="0"/>
        <v>8</v>
      </c>
      <c r="I19" s="2">
        <v>4</v>
      </c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</row>
    <row r="20" spans="2:35" ht="27" customHeight="1">
      <c r="B20" s="1" t="s">
        <v>245</v>
      </c>
      <c r="C20" s="2">
        <v>274.31900000000002</v>
      </c>
      <c r="D20" s="3">
        <v>19</v>
      </c>
      <c r="E20" s="3">
        <v>86</v>
      </c>
      <c r="F20" s="103">
        <f t="shared" si="0"/>
        <v>4.5263157894736841</v>
      </c>
      <c r="I20" s="2">
        <v>2.508</v>
      </c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</row>
    <row r="21" spans="2:35" ht="27" customHeight="1"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7"/>
      <c r="AE21" s="154"/>
      <c r="AF21" s="154"/>
      <c r="AG21" s="154"/>
      <c r="AH21" s="154"/>
      <c r="AI21" s="154"/>
    </row>
    <row r="22" spans="2:35" ht="27" customHeight="1">
      <c r="B22" s="1" t="s">
        <v>30</v>
      </c>
      <c r="C22" s="2">
        <v>8.3144620000000007</v>
      </c>
      <c r="D22" s="3" t="s">
        <v>31</v>
      </c>
      <c r="I22" s="2" t="s">
        <v>265</v>
      </c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</row>
    <row r="23" spans="2:35" ht="27" customHeight="1"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</row>
    <row r="24" spans="2:35" ht="27" customHeight="1">
      <c r="P24" s="156"/>
      <c r="Q24" s="154"/>
      <c r="R24" s="154"/>
      <c r="S24" s="154"/>
      <c r="T24" s="154"/>
      <c r="U24" s="154"/>
      <c r="V24" s="156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</row>
    <row r="25" spans="2:35" ht="27" customHeight="1">
      <c r="B25" s="1" t="s">
        <v>32</v>
      </c>
      <c r="C25" s="2" t="s">
        <v>33</v>
      </c>
      <c r="D25" s="10">
        <v>4.4499999999999997E-7</v>
      </c>
      <c r="F25" s="2" t="s">
        <v>34</v>
      </c>
      <c r="G25" s="2">
        <v>6.35</v>
      </c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6"/>
      <c r="AB25" s="154"/>
      <c r="AC25" s="154"/>
      <c r="AD25" s="154"/>
      <c r="AE25" s="154"/>
      <c r="AF25" s="154"/>
      <c r="AG25" s="154"/>
      <c r="AH25" s="154"/>
      <c r="AI25" s="154"/>
    </row>
    <row r="26" spans="2:35" ht="27" customHeight="1">
      <c r="C26" s="2" t="s">
        <v>35</v>
      </c>
      <c r="D26" s="11">
        <v>4.6900000000000001E-11</v>
      </c>
      <c r="F26" s="2" t="s">
        <v>34</v>
      </c>
      <c r="G26" s="2">
        <v>10.33</v>
      </c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</row>
    <row r="27" spans="2:35" ht="27" customHeight="1"/>
    <row r="28" spans="2:35" ht="27" customHeight="1">
      <c r="C28" s="2" t="s">
        <v>36</v>
      </c>
      <c r="D28" s="3">
        <v>29.41</v>
      </c>
      <c r="E28" s="3" t="s">
        <v>37</v>
      </c>
    </row>
    <row r="29" spans="2:35" ht="27" customHeight="1"/>
    <row r="30" spans="2:35" ht="27" customHeight="1"/>
    <row r="31" spans="2:35" ht="27" customHeight="1"/>
    <row r="32" spans="2:35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27" customHeight="1"/>
    <row r="41" ht="27" customHeight="1"/>
    <row r="42" ht="27" customHeight="1"/>
    <row r="43" ht="27" customHeight="1"/>
    <row r="44" ht="27" customHeight="1"/>
    <row r="45" ht="27" customHeight="1"/>
    <row r="46" ht="27" customHeight="1"/>
    <row r="47" ht="27" customHeight="1"/>
    <row r="48" ht="27" customHeight="1"/>
    <row r="49" ht="27" customHeight="1"/>
    <row r="50" ht="27" customHeight="1"/>
    <row r="51" ht="27" customHeight="1"/>
    <row r="52" ht="27" customHeight="1"/>
    <row r="53" ht="27" customHeight="1"/>
    <row r="54" ht="27" customHeight="1"/>
    <row r="55" ht="27" customHeight="1"/>
    <row r="56" ht="27" customHeight="1"/>
    <row r="57" ht="27" customHeight="1"/>
    <row r="58" ht="27" customHeight="1"/>
    <row r="59" ht="27" customHeight="1"/>
    <row r="60" ht="27" customHeight="1"/>
    <row r="61" ht="27" customHeight="1"/>
    <row r="62" ht="27" customHeight="1"/>
    <row r="63" ht="27" customHeight="1"/>
    <row r="64" ht="27" customHeight="1"/>
    <row r="65" ht="27" customHeight="1"/>
    <row r="66" ht="27" customHeight="1"/>
    <row r="67" ht="27" customHeight="1"/>
    <row r="68" ht="27" customHeight="1"/>
    <row r="69" ht="27" customHeight="1"/>
    <row r="70" ht="27" customHeight="1"/>
    <row r="71" ht="27" customHeight="1"/>
    <row r="72" ht="27" customHeight="1"/>
    <row r="73" ht="27" customHeight="1"/>
    <row r="74" ht="27" customHeight="1"/>
    <row r="75" ht="27" customHeight="1"/>
    <row r="76" ht="27" customHeight="1"/>
    <row r="77" ht="27" customHeight="1"/>
    <row r="78" ht="27" customHeight="1"/>
    <row r="79" ht="27" customHeight="1"/>
    <row r="80" ht="27" customHeight="1"/>
    <row r="81" ht="27" customHeight="1"/>
    <row r="82" ht="27" customHeight="1"/>
    <row r="83" ht="27" customHeight="1"/>
    <row r="84" ht="27" customHeight="1"/>
    <row r="85" ht="27" customHeight="1"/>
    <row r="86" ht="27" customHeight="1"/>
    <row r="87" ht="27" customHeight="1"/>
    <row r="88" ht="27" customHeight="1"/>
    <row r="89" ht="27" customHeight="1"/>
    <row r="90" ht="27" customHeight="1"/>
    <row r="91" ht="27" customHeight="1"/>
    <row r="92" ht="27" customHeight="1"/>
    <row r="93" ht="27" customHeight="1"/>
    <row r="94" ht="27" customHeight="1"/>
    <row r="95" ht="27" customHeight="1"/>
    <row r="96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  <row r="107" ht="27" customHeight="1"/>
    <row r="108" ht="27" customHeight="1"/>
    <row r="109" ht="27" customHeight="1"/>
    <row r="110" ht="27" customHeight="1"/>
    <row r="111" ht="27" customHeight="1"/>
    <row r="112" ht="27" customHeight="1"/>
    <row r="113" ht="27" customHeight="1"/>
    <row r="114" ht="27" customHeight="1"/>
    <row r="115" ht="27" customHeight="1"/>
    <row r="116" ht="27" customHeight="1"/>
    <row r="117" ht="27" customHeight="1"/>
    <row r="118" ht="27" customHeight="1"/>
    <row r="119" ht="27" customHeight="1"/>
    <row r="120" ht="27" customHeight="1"/>
    <row r="121" ht="27" customHeight="1"/>
    <row r="122" ht="27" customHeight="1"/>
    <row r="123" ht="27" customHeight="1"/>
    <row r="124" ht="27" customHeight="1"/>
    <row r="125" ht="27" customHeight="1"/>
    <row r="126" ht="27" customHeight="1"/>
    <row r="127" ht="27" customHeight="1"/>
    <row r="128" ht="27" customHeight="1"/>
    <row r="129" ht="27" customHeight="1"/>
    <row r="130" ht="27" customHeight="1"/>
    <row r="131" ht="27" customHeight="1"/>
    <row r="132" ht="27" customHeight="1"/>
    <row r="133" ht="27" customHeight="1"/>
    <row r="134" ht="27" customHeight="1"/>
    <row r="135" ht="27" customHeight="1"/>
    <row r="136" ht="27" customHeight="1"/>
    <row r="137" ht="27" customHeight="1"/>
    <row r="138" ht="27" customHeight="1"/>
    <row r="139" ht="27" customHeight="1"/>
    <row r="140" ht="27" customHeight="1"/>
    <row r="141" ht="27" customHeight="1"/>
    <row r="142" ht="27" customHeight="1"/>
    <row r="143" ht="27" customHeight="1"/>
    <row r="144" ht="27" customHeight="1"/>
    <row r="145" ht="27" customHeight="1"/>
    <row r="146" ht="27" customHeight="1"/>
    <row r="147" ht="27" customHeight="1"/>
    <row r="148" ht="27" customHeight="1"/>
    <row r="149" ht="27" customHeight="1"/>
    <row r="150" ht="27" customHeight="1"/>
    <row r="151" ht="27" customHeight="1"/>
    <row r="152" ht="27" customHeight="1"/>
    <row r="153" ht="27" customHeight="1"/>
    <row r="154" ht="27" customHeight="1"/>
    <row r="155" ht="27" customHeight="1"/>
    <row r="156" ht="27" customHeight="1"/>
    <row r="157" ht="27" customHeight="1"/>
    <row r="158" ht="27" customHeight="1"/>
    <row r="159" ht="27" customHeight="1"/>
    <row r="160" ht="27" customHeight="1"/>
    <row r="161" ht="27" customHeight="1"/>
    <row r="162" ht="27" customHeight="1"/>
    <row r="163" ht="27" customHeight="1"/>
    <row r="164" ht="27" customHeight="1"/>
    <row r="165" ht="27" customHeight="1"/>
    <row r="166" ht="27" customHeight="1"/>
    <row r="167" ht="27" customHeight="1"/>
    <row r="168" ht="27" customHeight="1"/>
    <row r="169" ht="27" customHeight="1"/>
    <row r="170" ht="27" customHeight="1"/>
    <row r="171" ht="27" customHeight="1"/>
    <row r="172" ht="27" customHeight="1"/>
    <row r="173" ht="27" customHeight="1"/>
    <row r="174" ht="27" customHeight="1"/>
    <row r="175" ht="27" customHeight="1"/>
    <row r="176" ht="27" customHeight="1"/>
    <row r="177" ht="27" customHeight="1"/>
  </sheetData>
  <mergeCells count="1">
    <mergeCell ref="F1:J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B9BAB-0C10-4D88-86F9-42BD018419A6}">
  <dimension ref="A1:AM65"/>
  <sheetViews>
    <sheetView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F10" sqref="F10"/>
    </sheetView>
  </sheetViews>
  <sheetFormatPr defaultRowHeight="15"/>
  <cols>
    <col min="2" max="5" width="11.7109375" bestFit="1" customWidth="1"/>
    <col min="6" max="6" width="12.28515625" bestFit="1" customWidth="1"/>
    <col min="7" max="7" width="11.7109375" bestFit="1" customWidth="1"/>
    <col min="8" max="8" width="12.5703125" bestFit="1" customWidth="1"/>
    <col min="9" max="9" width="11.85546875" bestFit="1" customWidth="1"/>
    <col min="10" max="18" width="11.7109375" bestFit="1" customWidth="1"/>
    <col min="19" max="19" width="10.140625" bestFit="1" customWidth="1"/>
    <col min="20" max="21" width="11.7109375" bestFit="1" customWidth="1"/>
    <col min="22" max="22" width="13" bestFit="1" customWidth="1"/>
    <col min="23" max="25" width="12.28515625" bestFit="1" customWidth="1"/>
    <col min="26" max="26" width="13.140625" bestFit="1" customWidth="1"/>
    <col min="27" max="27" width="12.140625" customWidth="1"/>
    <col min="28" max="28" width="11.85546875" customWidth="1"/>
    <col min="29" max="29" width="11.28515625" customWidth="1"/>
    <col min="30" max="30" width="11.5703125" customWidth="1"/>
    <col min="31" max="32" width="11.42578125" customWidth="1"/>
    <col min="33" max="34" width="11.7109375" customWidth="1"/>
    <col min="35" max="35" width="11.85546875" customWidth="1"/>
    <col min="36" max="38" width="11.7109375" customWidth="1"/>
    <col min="39" max="39" width="11.5703125" customWidth="1"/>
  </cols>
  <sheetData>
    <row r="1" spans="1:39" s="108" customFormat="1" ht="15.75">
      <c r="B1" s="109" t="s">
        <v>246</v>
      </c>
      <c r="C1" s="109"/>
      <c r="D1" s="109"/>
      <c r="E1" s="109"/>
      <c r="F1" s="109"/>
      <c r="G1" s="109"/>
      <c r="H1" s="130" t="s">
        <v>248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3"/>
      <c r="V1" s="136" t="s">
        <v>246</v>
      </c>
      <c r="W1" s="136"/>
      <c r="X1" s="136"/>
      <c r="Y1" s="136"/>
      <c r="Z1" s="136"/>
      <c r="AA1" s="137" t="s">
        <v>248</v>
      </c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</row>
    <row r="2" spans="1:39" s="108" customFormat="1" ht="15.75">
      <c r="B2" s="109" t="s">
        <v>247</v>
      </c>
      <c r="C2" s="109" t="s">
        <v>247</v>
      </c>
      <c r="D2" s="109" t="s">
        <v>247</v>
      </c>
      <c r="E2" s="109" t="s">
        <v>247</v>
      </c>
      <c r="F2" s="109" t="s">
        <v>247</v>
      </c>
      <c r="G2" s="109" t="s">
        <v>247</v>
      </c>
      <c r="H2" s="130" t="s">
        <v>247</v>
      </c>
      <c r="I2" s="130" t="s">
        <v>247</v>
      </c>
      <c r="J2" s="130" t="s">
        <v>247</v>
      </c>
      <c r="K2" s="130" t="s">
        <v>247</v>
      </c>
      <c r="L2" s="130" t="s">
        <v>247</v>
      </c>
      <c r="M2" s="130" t="s">
        <v>247</v>
      </c>
      <c r="N2" s="130" t="s">
        <v>247</v>
      </c>
      <c r="O2" s="130" t="s">
        <v>247</v>
      </c>
      <c r="P2" s="130" t="s">
        <v>247</v>
      </c>
      <c r="Q2" s="130" t="s">
        <v>247</v>
      </c>
      <c r="R2" s="130" t="s">
        <v>247</v>
      </c>
      <c r="S2" s="130" t="s">
        <v>249</v>
      </c>
      <c r="T2" s="130" t="s">
        <v>247</v>
      </c>
      <c r="U2" s="133" t="s">
        <v>247</v>
      </c>
      <c r="V2" s="136" t="s">
        <v>264</v>
      </c>
      <c r="W2" s="136" t="s">
        <v>264</v>
      </c>
      <c r="X2" s="136" t="s">
        <v>264</v>
      </c>
      <c r="Y2" s="136" t="s">
        <v>264</v>
      </c>
      <c r="Z2" s="136" t="s">
        <v>264</v>
      </c>
      <c r="AA2" s="137" t="s">
        <v>264</v>
      </c>
      <c r="AB2" s="137" t="s">
        <v>264</v>
      </c>
      <c r="AC2" s="137" t="s">
        <v>264</v>
      </c>
      <c r="AD2" s="137" t="s">
        <v>264</v>
      </c>
      <c r="AE2" s="137" t="s">
        <v>264</v>
      </c>
      <c r="AF2" s="137" t="s">
        <v>264</v>
      </c>
      <c r="AG2" s="137" t="s">
        <v>264</v>
      </c>
      <c r="AH2" s="137" t="s">
        <v>264</v>
      </c>
      <c r="AI2" s="137" t="s">
        <v>264</v>
      </c>
      <c r="AJ2" s="137" t="s">
        <v>264</v>
      </c>
      <c r="AK2" s="137" t="s">
        <v>264</v>
      </c>
      <c r="AL2" s="137" t="s">
        <v>264</v>
      </c>
      <c r="AM2" s="137" t="s">
        <v>264</v>
      </c>
    </row>
    <row r="3" spans="1:39" s="108" customFormat="1" ht="15.75">
      <c r="A3" s="108" t="s">
        <v>244</v>
      </c>
      <c r="B3" s="109" t="s">
        <v>191</v>
      </c>
      <c r="C3" s="109" t="s">
        <v>192</v>
      </c>
      <c r="D3" s="109" t="s">
        <v>193</v>
      </c>
      <c r="E3" s="109" t="s">
        <v>196</v>
      </c>
      <c r="F3" s="109" t="s">
        <v>245</v>
      </c>
      <c r="G3" s="109" t="s">
        <v>28</v>
      </c>
      <c r="H3" s="130" t="s">
        <v>178</v>
      </c>
      <c r="I3" s="130" t="s">
        <v>179</v>
      </c>
      <c r="J3" s="130" t="s">
        <v>180</v>
      </c>
      <c r="K3" s="130" t="s">
        <v>181</v>
      </c>
      <c r="L3" s="130" t="s">
        <v>182</v>
      </c>
      <c r="M3" s="130" t="s">
        <v>183</v>
      </c>
      <c r="N3" s="130" t="s">
        <v>184</v>
      </c>
      <c r="O3" s="130" t="s">
        <v>185</v>
      </c>
      <c r="P3" s="130" t="s">
        <v>191</v>
      </c>
      <c r="Q3" s="130" t="s">
        <v>192</v>
      </c>
      <c r="R3" s="130" t="s">
        <v>202</v>
      </c>
      <c r="S3" s="130" t="s">
        <v>27</v>
      </c>
      <c r="T3" s="130" t="s">
        <v>29</v>
      </c>
      <c r="U3" s="133" t="s">
        <v>28</v>
      </c>
      <c r="V3" s="136" t="s">
        <v>191</v>
      </c>
      <c r="W3" s="136" t="s">
        <v>192</v>
      </c>
      <c r="X3" s="136" t="s">
        <v>193</v>
      </c>
      <c r="Y3" s="136" t="s">
        <v>196</v>
      </c>
      <c r="Z3" s="136" t="s">
        <v>245</v>
      </c>
      <c r="AA3" s="137" t="s">
        <v>178</v>
      </c>
      <c r="AB3" s="137" t="s">
        <v>179</v>
      </c>
      <c r="AC3" s="137" t="s">
        <v>180</v>
      </c>
      <c r="AD3" s="137" t="s">
        <v>181</v>
      </c>
      <c r="AE3" s="137" t="s">
        <v>182</v>
      </c>
      <c r="AF3" s="137" t="s">
        <v>183</v>
      </c>
      <c r="AG3" s="137" t="s">
        <v>184</v>
      </c>
      <c r="AH3" s="137" t="s">
        <v>185</v>
      </c>
      <c r="AI3" s="137" t="s">
        <v>191</v>
      </c>
      <c r="AJ3" s="137" t="s">
        <v>192</v>
      </c>
      <c r="AK3" s="137" t="s">
        <v>202</v>
      </c>
      <c r="AL3" s="137" t="s">
        <v>27</v>
      </c>
      <c r="AM3" s="137" t="s">
        <v>29</v>
      </c>
    </row>
    <row r="4" spans="1:39">
      <c r="A4" s="58">
        <f>Rawdata!Y5</f>
        <v>0</v>
      </c>
      <c r="B4" s="107"/>
      <c r="C4" s="107"/>
      <c r="D4" s="107"/>
      <c r="E4" s="107"/>
      <c r="F4" s="107"/>
      <c r="G4" s="107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4"/>
      <c r="V4" s="138"/>
      <c r="W4" s="138"/>
      <c r="X4" s="138"/>
      <c r="Y4" s="138"/>
      <c r="Z4" s="138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</row>
    <row r="5" spans="1:39">
      <c r="A5" s="58">
        <f>Rawdata!Y6</f>
        <v>1.9791666666642413</v>
      </c>
      <c r="B5" s="107"/>
      <c r="C5" s="107"/>
      <c r="D5" s="107"/>
      <c r="E5" s="107"/>
      <c r="F5" s="107"/>
      <c r="G5" s="107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2"/>
      <c r="T5" s="131"/>
      <c r="U5" s="135">
        <f>Gas!V4</f>
        <v>98.892102082879447</v>
      </c>
      <c r="V5" s="138"/>
      <c r="W5" s="138"/>
      <c r="X5" s="138"/>
      <c r="Y5" s="138"/>
      <c r="Z5" s="138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</row>
    <row r="6" spans="1:39">
      <c r="A6" s="58">
        <f>Rawdata!Y7</f>
        <v>5.0034722222262644</v>
      </c>
      <c r="B6" s="107"/>
      <c r="C6" s="107"/>
      <c r="D6" s="107"/>
      <c r="E6" s="107"/>
      <c r="F6" s="107"/>
      <c r="G6" s="107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2">
        <f>Gas!S5</f>
        <v>0.266783823143034</v>
      </c>
      <c r="T6" s="131"/>
      <c r="U6" s="135">
        <f>Gas!V5</f>
        <v>122.89122102835633</v>
      </c>
      <c r="V6" s="138"/>
      <c r="W6" s="138"/>
      <c r="X6" s="138"/>
      <c r="Y6" s="138"/>
      <c r="Z6" s="138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</row>
    <row r="7" spans="1:39">
      <c r="A7" s="58">
        <f>Rawdata!Y8</f>
        <v>7.015972222223354</v>
      </c>
      <c r="B7" s="107"/>
      <c r="C7" s="107"/>
      <c r="D7" s="107"/>
      <c r="E7" s="107"/>
      <c r="F7" s="107"/>
      <c r="G7" s="107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2">
        <f>Gas!S6</f>
        <v>0</v>
      </c>
      <c r="T7" s="131"/>
      <c r="U7" s="135">
        <f>Gas!V6</f>
        <v>119.75348950090687</v>
      </c>
      <c r="V7" s="138"/>
      <c r="W7" s="138"/>
      <c r="X7" s="138"/>
      <c r="Y7" s="138"/>
      <c r="Z7" s="138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</row>
    <row r="8" spans="1:39">
      <c r="A8" s="58">
        <f>Rawdata!Y9</f>
        <v>9.0881944444481633</v>
      </c>
      <c r="B8" s="107"/>
      <c r="C8" s="107"/>
      <c r="D8" s="107"/>
      <c r="E8" s="107"/>
      <c r="F8" s="107"/>
      <c r="G8" s="107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2">
        <f>Gas!S7</f>
        <v>0</v>
      </c>
      <c r="T8" s="131"/>
      <c r="U8" s="135">
        <f>Gas!V7</f>
        <v>120.97584463385473</v>
      </c>
      <c r="V8" s="138"/>
      <c r="W8" s="138"/>
      <c r="X8" s="138"/>
      <c r="Y8" s="138"/>
      <c r="Z8" s="138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</row>
    <row r="9" spans="1:39">
      <c r="A9" s="58">
        <f>Rawdata!Y10</f>
        <v>9.2743055555547471</v>
      </c>
      <c r="B9" s="107"/>
      <c r="C9" s="107"/>
      <c r="D9" s="107"/>
      <c r="E9" s="107"/>
      <c r="F9" s="107"/>
      <c r="G9" s="107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2">
        <f>Gas!S8</f>
        <v>0</v>
      </c>
      <c r="T9" s="131"/>
      <c r="U9" s="135">
        <f>Gas!V8</f>
        <v>122.69811269822871</v>
      </c>
      <c r="V9" s="138"/>
      <c r="W9" s="138"/>
      <c r="X9" s="138"/>
      <c r="Y9" s="138"/>
      <c r="Z9" s="138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</row>
    <row r="10" spans="1:39">
      <c r="A10" s="58">
        <f>Rawdata!Y11</f>
        <v>11.993055555554747</v>
      </c>
      <c r="B10" s="107">
        <f>'Influent Concentration'!S10*HRT!B9/1000</f>
        <v>0</v>
      </c>
      <c r="C10" s="125">
        <f>'Influent Concentration'!T10*HRT!B9/1000</f>
        <v>110.7595436692154</v>
      </c>
      <c r="D10" s="107">
        <f>'Influent Concentration'!U10*HRT!B9/1000</f>
        <v>0</v>
      </c>
      <c r="E10" s="107">
        <f>'Influent Concentration'!V10*HRT!B9/1000</f>
        <v>0</v>
      </c>
      <c r="F10" s="125">
        <f>'Influent Concentration'!W10*HRT!B9/1000</f>
        <v>3.2033315688803099</v>
      </c>
      <c r="G10" s="125">
        <f>Gas!Y9-Gas!U9</f>
        <v>118.46355977275152</v>
      </c>
      <c r="H10" s="132">
        <f>'Effluent Concentration'!AJ10*HRT!D9/1000</f>
        <v>0</v>
      </c>
      <c r="I10" s="132">
        <f>'Effluent Concentration'!AK10*HRT!D9/1000</f>
        <v>0</v>
      </c>
      <c r="J10" s="132">
        <f>'Effluent Concentration'!AL10*HRT!D9/1000</f>
        <v>56.833871261504925</v>
      </c>
      <c r="K10" s="132">
        <f>'Effluent Concentration'!AM10*HRT!D9/1000</f>
        <v>0.24024450525720906</v>
      </c>
      <c r="L10" s="132">
        <f>'Effluent Concentration'!AN10*HRT!D9/1000</f>
        <v>0.22153709632806409</v>
      </c>
      <c r="M10" s="132">
        <f>'Effluent Concentration'!AO10*HRT!D9/1000</f>
        <v>43.9946610119732</v>
      </c>
      <c r="N10" s="132">
        <f>'Effluent Concentration'!AP10*HRT!D9/1000</f>
        <v>0</v>
      </c>
      <c r="O10" s="132">
        <f>'Effluent Concentration'!AQ10*HRT!D9/1000</f>
        <v>0.3286682748874451</v>
      </c>
      <c r="P10" s="132">
        <f>'Effluent Concentration'!AR10*HRT!D9/1000</f>
        <v>0</v>
      </c>
      <c r="Q10" s="132">
        <f>'Effluent Concentration'!AS10*HRT!D9/1000</f>
        <v>0.6424164062355624</v>
      </c>
      <c r="R10" s="132">
        <f>'Effluent Concentration'!AT10*HRT!D9/1000</f>
        <v>0</v>
      </c>
      <c r="S10" s="132">
        <f>Gas!S9</f>
        <v>0</v>
      </c>
      <c r="T10" s="131"/>
      <c r="U10" s="135">
        <f>Gas!V9</f>
        <v>128.06518922746383</v>
      </c>
      <c r="V10" s="138">
        <f>'Influent Concentration'!Y10*HRT!B9/1000</f>
        <v>0</v>
      </c>
      <c r="W10" s="138">
        <f>'Influent Concentration'!Z10*HRT!B9/1000</f>
        <v>498.41794651146932</v>
      </c>
      <c r="X10" s="138">
        <f>'Influent Concentration'!AA10*HRT!B9/1000</f>
        <v>0</v>
      </c>
      <c r="Y10" s="138">
        <f>'Influent Concentration'!AB10*HRT!B9/1000</f>
        <v>0</v>
      </c>
      <c r="Z10" s="138">
        <f>'Influent Concentration'!AC10*HRT!B9/1000</f>
        <v>14.499290259142455</v>
      </c>
      <c r="AA10" s="139">
        <f>'Effluent Concentration'!AV10*HRT!D9/1000</f>
        <v>0</v>
      </c>
      <c r="AB10" s="139">
        <f>'Effluent Concentration'!AW10*HRT!D9/1000</f>
        <v>0</v>
      </c>
      <c r="AC10" s="139">
        <f>'Effluent Concentration'!AX10*HRT!D9/1000</f>
        <v>227.3354850460197</v>
      </c>
      <c r="AD10" s="139">
        <f>'Effluent Concentration'!AY10*HRT!D9/1000</f>
        <v>1.1211410245336422</v>
      </c>
      <c r="AE10" s="139">
        <f>'Effluent Concentration'!AZ10*HRT!D9/1000</f>
        <v>1.1076854816403203</v>
      </c>
      <c r="AF10" s="139">
        <f>'Effluent Concentration'!BA10*HRT!D9/1000</f>
        <v>219.97330505986599</v>
      </c>
      <c r="AG10" s="139">
        <f>'Effluent Concentration'!BB10*HRT!D9/1000</f>
        <v>0</v>
      </c>
      <c r="AH10" s="139">
        <f>'Effluent Concentration'!BC10*HRT!D9/1000</f>
        <v>1.7528974660663736</v>
      </c>
      <c r="AI10" s="139">
        <f>'Effluent Concentration'!BD10*HRT!D9/1000</f>
        <v>0</v>
      </c>
      <c r="AJ10" s="139">
        <f>'Effluent Concentration'!BE10*HRT!D9/1000</f>
        <v>2.8908738280600303</v>
      </c>
      <c r="AK10" s="139">
        <f>'Effluent Concentration'!BF10*HRT!D9/1000</f>
        <v>0</v>
      </c>
      <c r="AL10" s="139">
        <f>Gas!S9*Constants!$E$17</f>
        <v>0</v>
      </c>
      <c r="AM10" s="139">
        <v>0</v>
      </c>
    </row>
    <row r="11" spans="1:39">
      <c r="A11" s="58">
        <f>Rawdata!Y12</f>
        <v>14.045138888890506</v>
      </c>
      <c r="B11" s="107">
        <f>'Influent Concentration'!S11*HRT!B10/1000</f>
        <v>0</v>
      </c>
      <c r="C11" s="125">
        <f>'Influent Concentration'!T11*HRT!B10/1000</f>
        <v>108.98892232823378</v>
      </c>
      <c r="D11" s="107">
        <f>'Influent Concentration'!U11*HRT!B10/1000</f>
        <v>0</v>
      </c>
      <c r="E11" s="107">
        <f>'Influent Concentration'!V11*HRT!B10/1000</f>
        <v>0</v>
      </c>
      <c r="F11" s="125">
        <f>'Influent Concentration'!W11*HRT!B10/1000</f>
        <v>3.1521225529327652</v>
      </c>
      <c r="G11" s="125">
        <f>Gas!Y10-Gas!U10</f>
        <v>126.14238428103454</v>
      </c>
      <c r="H11" s="132">
        <f>'Effluent Concentration'!AJ11*HRT!D10/1000</f>
        <v>0</v>
      </c>
      <c r="I11" s="132">
        <f>'Effluent Concentration'!AK11*HRT!D10/1000</f>
        <v>0</v>
      </c>
      <c r="J11" s="132">
        <f>'Effluent Concentration'!AL11*HRT!D10/1000</f>
        <v>53.358525013337697</v>
      </c>
      <c r="K11" s="132">
        <f>'Effluent Concentration'!AM11*HRT!D10/1000</f>
        <v>0.24215751844400185</v>
      </c>
      <c r="L11" s="132">
        <f>'Effluent Concentration'!AN11*HRT!D10/1000</f>
        <v>0</v>
      </c>
      <c r="M11" s="132">
        <f>'Effluent Concentration'!AO11*HRT!D10/1000</f>
        <v>43.617342707938349</v>
      </c>
      <c r="N11" s="132">
        <f>'Effluent Concentration'!AP11*HRT!D10/1000</f>
        <v>0</v>
      </c>
      <c r="O11" s="132">
        <f>'Effluent Concentration'!AQ11*HRT!D10/1000</f>
        <v>0.18915146287667917</v>
      </c>
      <c r="P11" s="132">
        <f>'Effluent Concentration'!AR11*HRT!D10/1000</f>
        <v>0</v>
      </c>
      <c r="Q11" s="132">
        <f>'Effluent Concentration'!AS11*HRT!D10/1000</f>
        <v>0.14214748663397922</v>
      </c>
      <c r="R11" s="132">
        <f>'Effluent Concentration'!AT11*HRT!D10/1000</f>
        <v>0</v>
      </c>
      <c r="S11" s="132">
        <f>Gas!S10</f>
        <v>9.0198344140889938E-2</v>
      </c>
      <c r="T11" s="131"/>
      <c r="U11" s="135">
        <f>Gas!V10</f>
        <v>128.51168320598788</v>
      </c>
      <c r="V11" s="138">
        <f>'Influent Concentration'!Y11*HRT!B10/1000</f>
        <v>0</v>
      </c>
      <c r="W11" s="138">
        <f>'Influent Concentration'!Z11*HRT!B10/1000</f>
        <v>490.45015047705198</v>
      </c>
      <c r="X11" s="138">
        <f>'Influent Concentration'!AA11*HRT!B10/1000</f>
        <v>0</v>
      </c>
      <c r="Y11" s="138">
        <f>'Influent Concentration'!AB11*HRT!B10/1000</f>
        <v>0</v>
      </c>
      <c r="Z11" s="138">
        <f>'Influent Concentration'!AC11*HRT!B10/1000</f>
        <v>14.267502081695675</v>
      </c>
      <c r="AA11" s="139">
        <f>'Effluent Concentration'!AV11*HRT!D10/1000</f>
        <v>0</v>
      </c>
      <c r="AB11" s="139">
        <f>'Effluent Concentration'!AW11*HRT!D10/1000</f>
        <v>0</v>
      </c>
      <c r="AC11" s="139">
        <f>'Effluent Concentration'!AX11*HRT!D10/1000</f>
        <v>213.43410005335079</v>
      </c>
      <c r="AD11" s="139">
        <f>'Effluent Concentration'!AY11*HRT!D10/1000</f>
        <v>1.1300684194053419</v>
      </c>
      <c r="AE11" s="139">
        <f>'Effluent Concentration'!AZ11*HRT!D10/1000</f>
        <v>0</v>
      </c>
      <c r="AF11" s="139">
        <f>'Effluent Concentration'!BA11*HRT!D10/1000</f>
        <v>218.08671353969169</v>
      </c>
      <c r="AG11" s="139">
        <f>'Effluent Concentration'!BB11*HRT!D10/1000</f>
        <v>0</v>
      </c>
      <c r="AH11" s="139">
        <f>'Effluent Concentration'!BC11*HRT!D10/1000</f>
        <v>1.0088078020089557</v>
      </c>
      <c r="AI11" s="139">
        <f>'Effluent Concentration'!BD11*HRT!D10/1000</f>
        <v>0</v>
      </c>
      <c r="AJ11" s="139">
        <f>'Effluent Concentration'!BE11*HRT!D10/1000</f>
        <v>0.63966368985290645</v>
      </c>
      <c r="AK11" s="139">
        <f>'Effluent Concentration'!BF11*HRT!D10/1000</f>
        <v>0</v>
      </c>
      <c r="AL11" s="139">
        <f>Gas!S10*Constants!$E$17</f>
        <v>0.18039668828177988</v>
      </c>
      <c r="AM11" s="139">
        <v>0</v>
      </c>
    </row>
    <row r="12" spans="1:39">
      <c r="A12" s="58">
        <f>Rawdata!Y13</f>
        <v>16.038194444445253</v>
      </c>
      <c r="B12" s="107">
        <f>'Influent Concentration'!S12*HRT!B11/1000</f>
        <v>0</v>
      </c>
      <c r="C12" s="125">
        <f>'Influent Concentration'!T12*HRT!B11/1000</f>
        <v>112.85311372148546</v>
      </c>
      <c r="D12" s="107">
        <f>'Influent Concentration'!U12*HRT!B11/1000</f>
        <v>0</v>
      </c>
      <c r="E12" s="107">
        <f>'Influent Concentration'!V12*HRT!B11/1000</f>
        <v>0</v>
      </c>
      <c r="F12" s="125">
        <f>'Influent Concentration'!W12*HRT!B11/1000</f>
        <v>3.2732796031511118</v>
      </c>
      <c r="G12" s="125">
        <f>Gas!Y11-Gas!U11</f>
        <v>131.52351030350587</v>
      </c>
      <c r="H12" s="132">
        <f>'Effluent Concentration'!AJ12*HRT!D11/1000</f>
        <v>0</v>
      </c>
      <c r="I12" s="132">
        <f>'Effluent Concentration'!AK12*HRT!D11/1000</f>
        <v>0</v>
      </c>
      <c r="J12" s="132">
        <f>'Effluent Concentration'!AL12*HRT!D11/1000</f>
        <v>55.244500058424407</v>
      </c>
      <c r="K12" s="132">
        <f>'Effluent Concentration'!AM12*HRT!D11/1000</f>
        <v>0.24951517577530444</v>
      </c>
      <c r="L12" s="132">
        <f>'Effluent Concentration'!AN12*HRT!D11/1000</f>
        <v>0</v>
      </c>
      <c r="M12" s="132">
        <f>'Effluent Concentration'!AO12*HRT!D11/1000</f>
        <v>47.092969724698534</v>
      </c>
      <c r="N12" s="132">
        <f>'Effluent Concentration'!AP12*HRT!D11/1000</f>
        <v>0</v>
      </c>
      <c r="O12" s="132">
        <f>'Effluent Concentration'!AQ12*HRT!D11/1000</f>
        <v>0</v>
      </c>
      <c r="P12" s="132">
        <f>'Effluent Concentration'!AR12*HRT!D11/1000</f>
        <v>0</v>
      </c>
      <c r="Q12" s="132">
        <f>'Effluent Concentration'!AS12*HRT!D11/1000</f>
        <v>0.30656258882041587</v>
      </c>
      <c r="R12" s="132">
        <f>'Effluent Concentration'!AT12*HRT!D11/1000</f>
        <v>0</v>
      </c>
      <c r="S12" s="132">
        <f>Gas!S11</f>
        <v>0.18254477488342249</v>
      </c>
      <c r="T12" s="131"/>
      <c r="U12" s="135">
        <f>Gas!V11</f>
        <v>130.6167470460191</v>
      </c>
      <c r="V12" s="138">
        <f>'Influent Concentration'!Y12*HRT!B11/1000</f>
        <v>0</v>
      </c>
      <c r="W12" s="138">
        <f>'Influent Concentration'!Z12*HRT!B11/1000</f>
        <v>507.83901174668455</v>
      </c>
      <c r="X12" s="138">
        <f>'Influent Concentration'!AA12*HRT!B11/1000</f>
        <v>0</v>
      </c>
      <c r="Y12" s="138">
        <f>'Influent Concentration'!AB12*HRT!B11/1000</f>
        <v>0</v>
      </c>
      <c r="Z12" s="138">
        <f>'Influent Concentration'!AC12*HRT!B11/1000</f>
        <v>14.815897151105032</v>
      </c>
      <c r="AA12" s="139">
        <f>'Effluent Concentration'!AV12*HRT!D11/1000</f>
        <v>0</v>
      </c>
      <c r="AB12" s="139">
        <f>'Effluent Concentration'!AW12*HRT!D11/1000</f>
        <v>0</v>
      </c>
      <c r="AC12" s="139">
        <f>'Effluent Concentration'!AX12*HRT!D11/1000</f>
        <v>220.97800023369763</v>
      </c>
      <c r="AD12" s="139">
        <f>'Effluent Concentration'!AY12*HRT!D11/1000</f>
        <v>1.1644041536180876</v>
      </c>
      <c r="AE12" s="139">
        <f>'Effluent Concentration'!AZ12*HRT!D11/1000</f>
        <v>0</v>
      </c>
      <c r="AF12" s="139">
        <f>'Effluent Concentration'!BA12*HRT!D11/1000</f>
        <v>235.46484862349263</v>
      </c>
      <c r="AG12" s="139">
        <f>'Effluent Concentration'!BB12*HRT!D11/1000</f>
        <v>0</v>
      </c>
      <c r="AH12" s="139">
        <f>'Effluent Concentration'!BC12*HRT!D11/1000</f>
        <v>0</v>
      </c>
      <c r="AI12" s="139">
        <f>'Effluent Concentration'!BD12*HRT!D11/1000</f>
        <v>0</v>
      </c>
      <c r="AJ12" s="139">
        <f>'Effluent Concentration'!BE12*HRT!D11/1000</f>
        <v>1.3795316496918715</v>
      </c>
      <c r="AK12" s="139">
        <f>'Effluent Concentration'!BF12*HRT!D11/1000</f>
        <v>0</v>
      </c>
      <c r="AL12" s="139">
        <f>Gas!S11*Constants!$E$17</f>
        <v>0.36508954976684499</v>
      </c>
      <c r="AM12" s="139">
        <v>0</v>
      </c>
    </row>
    <row r="13" spans="1:39">
      <c r="A13" s="58">
        <f>Rawdata!Y14</f>
        <v>18.993055555554747</v>
      </c>
      <c r="B13" s="107">
        <f>'Influent Concentration'!S13*HRT!B12/1000</f>
        <v>0</v>
      </c>
      <c r="C13" s="125">
        <f>'Influent Concentration'!T13*HRT!B12/1000</f>
        <v>102.53913026012475</v>
      </c>
      <c r="D13" s="107">
        <f>'Influent Concentration'!U13*HRT!B12/1000</f>
        <v>0</v>
      </c>
      <c r="E13" s="107">
        <f>'Influent Concentration'!V13*HRT!B12/1000</f>
        <v>0</v>
      </c>
      <c r="F13" s="125">
        <f>'Influent Concentration'!W13*HRT!B12/1000</f>
        <v>3.2021607581529423</v>
      </c>
      <c r="G13" s="125">
        <f>Gas!Y12-Gas!U12</f>
        <v>125.44276419251287</v>
      </c>
      <c r="H13" s="132">
        <f>'Effluent Concentration'!AJ13*HRT!D12/1000</f>
        <v>0</v>
      </c>
      <c r="I13" s="132">
        <f>'Effluent Concentration'!AK13*HRT!D12/1000</f>
        <v>0</v>
      </c>
      <c r="J13" s="132">
        <f>'Effluent Concentration'!AL13*HRT!D12/1000</f>
        <v>54.193176018425312</v>
      </c>
      <c r="K13" s="132">
        <f>'Effluent Concentration'!AM13*HRT!D12/1000</f>
        <v>0.24271882352932336</v>
      </c>
      <c r="L13" s="132">
        <f>'Effluent Concentration'!AN13*HRT!D12/1000</f>
        <v>0</v>
      </c>
      <c r="M13" s="132">
        <f>'Effluent Concentration'!AO13*HRT!D12/1000</f>
        <v>46.329295755373067</v>
      </c>
      <c r="N13" s="132">
        <f>'Effluent Concentration'!AP13*HRT!D12/1000</f>
        <v>0</v>
      </c>
      <c r="O13" s="132">
        <f>'Effluent Concentration'!AQ13*HRT!D12/1000</f>
        <v>0</v>
      </c>
      <c r="P13" s="132">
        <f>'Effluent Concentration'!AR13*HRT!D12/1000</f>
        <v>0</v>
      </c>
      <c r="Q13" s="132">
        <f>'Effluent Concentration'!AS13*HRT!D12/1000</f>
        <v>0.77133909278173196</v>
      </c>
      <c r="R13" s="132">
        <f>'Effluent Concentration'!AT13*HRT!D12/1000</f>
        <v>0</v>
      </c>
      <c r="S13" s="132">
        <f>Gas!S12</f>
        <v>9.067059211601966E-2</v>
      </c>
      <c r="T13" s="131"/>
      <c r="U13" s="135">
        <f>Gas!V12</f>
        <v>127.54808920125087</v>
      </c>
      <c r="V13" s="138">
        <f>'Influent Concentration'!Y13*HRT!B12/1000</f>
        <v>0</v>
      </c>
      <c r="W13" s="138">
        <f>'Influent Concentration'!Z13*HRT!B12/1000</f>
        <v>461.4260861705614</v>
      </c>
      <c r="X13" s="138">
        <f>'Influent Concentration'!AA13*HRT!B12/1000</f>
        <v>0</v>
      </c>
      <c r="Y13" s="138">
        <f>'Influent Concentration'!AB13*HRT!B12/1000</f>
        <v>0</v>
      </c>
      <c r="Z13" s="138">
        <f>'Influent Concentration'!AC13*HRT!B12/1000</f>
        <v>14.493990800060685</v>
      </c>
      <c r="AA13" s="139">
        <f>'Effluent Concentration'!AV13*HRT!D12/1000</f>
        <v>0</v>
      </c>
      <c r="AB13" s="139">
        <f>'Effluent Concentration'!AW13*HRT!D12/1000</f>
        <v>0</v>
      </c>
      <c r="AC13" s="139">
        <f>'Effluent Concentration'!AX13*HRT!D12/1000</f>
        <v>216.77270407370125</v>
      </c>
      <c r="AD13" s="139">
        <f>'Effluent Concentration'!AY13*HRT!D12/1000</f>
        <v>1.1326878431368423</v>
      </c>
      <c r="AE13" s="139">
        <f>'Effluent Concentration'!AZ13*HRT!D12/1000</f>
        <v>0</v>
      </c>
      <c r="AF13" s="139">
        <f>'Effluent Concentration'!BA13*HRT!D12/1000</f>
        <v>231.64647877686534</v>
      </c>
      <c r="AG13" s="139">
        <f>'Effluent Concentration'!BB13*HRT!D12/1000</f>
        <v>0</v>
      </c>
      <c r="AH13" s="139">
        <f>'Effluent Concentration'!BC13*HRT!D12/1000</f>
        <v>0</v>
      </c>
      <c r="AI13" s="139">
        <f>'Effluent Concentration'!BD13*HRT!D12/1000</f>
        <v>0</v>
      </c>
      <c r="AJ13" s="139">
        <f>'Effluent Concentration'!BE13*HRT!D12/1000</f>
        <v>3.4710259175177938</v>
      </c>
      <c r="AK13" s="139">
        <f>'Effluent Concentration'!BF13*HRT!D12/1000</f>
        <v>0</v>
      </c>
      <c r="AL13" s="139">
        <f>Gas!S12*Constants!$E$17</f>
        <v>0.18134118423203932</v>
      </c>
      <c r="AM13" s="139">
        <v>0</v>
      </c>
    </row>
    <row r="14" spans="1:39">
      <c r="A14" s="58">
        <f>Rawdata!Y15</f>
        <v>21.045138888890506</v>
      </c>
      <c r="B14" s="107">
        <f>'Influent Concentration'!S14*HRT!B13/1000</f>
        <v>0</v>
      </c>
      <c r="C14" s="125">
        <f>'Influent Concentration'!T14*HRT!B13/1000</f>
        <v>115.25754204799776</v>
      </c>
      <c r="D14" s="107">
        <f>'Influent Concentration'!U14*HRT!B13/1000</f>
        <v>0</v>
      </c>
      <c r="E14" s="107">
        <f>'Influent Concentration'!V14*HRT!B13/1000</f>
        <v>0</v>
      </c>
      <c r="F14" s="125">
        <f>'Influent Concentration'!W14*HRT!B13/1000</f>
        <v>3.5993398548533011</v>
      </c>
      <c r="G14" s="125">
        <f>Gas!Y13-Gas!U13</f>
        <v>121.89890419073481</v>
      </c>
      <c r="H14" s="132">
        <f>'Effluent Concentration'!AJ14*HRT!D13/1000</f>
        <v>0</v>
      </c>
      <c r="I14" s="132">
        <f>'Effluent Concentration'!AK14*HRT!D13/1000</f>
        <v>0</v>
      </c>
      <c r="J14" s="132">
        <f>'Effluent Concentration'!AL14*HRT!D13/1000</f>
        <v>60.433339334093517</v>
      </c>
      <c r="K14" s="132">
        <f>'Effluent Concentration'!AM14*HRT!D13/1000</f>
        <v>0.25111349264500726</v>
      </c>
      <c r="L14" s="132">
        <f>'Effluent Concentration'!AN14*HRT!D13/1000</f>
        <v>0</v>
      </c>
      <c r="M14" s="132">
        <f>'Effluent Concentration'!AO14*HRT!D13/1000</f>
        <v>51.404553708060696</v>
      </c>
      <c r="N14" s="132">
        <f>'Effluent Concentration'!AP14*HRT!D13/1000</f>
        <v>0</v>
      </c>
      <c r="O14" s="132">
        <f>'Effluent Concentration'!AQ14*HRT!D13/1000</f>
        <v>0</v>
      </c>
      <c r="P14" s="132">
        <f>'Effluent Concentration'!AR14*HRT!D13/1000</f>
        <v>0</v>
      </c>
      <c r="Q14" s="132">
        <f>'Effluent Concentration'!AS14*HRT!D13/1000</f>
        <v>1.0588626876082599</v>
      </c>
      <c r="R14" s="132">
        <f>'Effluent Concentration'!AT14*HRT!D13/1000</f>
        <v>0</v>
      </c>
      <c r="S14" s="132">
        <f>Gas!S13</f>
        <v>0</v>
      </c>
      <c r="T14" s="131"/>
      <c r="U14" s="135">
        <f>Gas!V13</f>
        <v>122.05019855675468</v>
      </c>
      <c r="V14" s="138">
        <f>'Influent Concentration'!Y14*HRT!B13/1000</f>
        <v>0</v>
      </c>
      <c r="W14" s="138">
        <f>'Influent Concentration'!Z14*HRT!B13/1000</f>
        <v>518.6589392159899</v>
      </c>
      <c r="X14" s="138">
        <f>'Influent Concentration'!AA14*HRT!B13/1000</f>
        <v>0</v>
      </c>
      <c r="Y14" s="138">
        <f>'Influent Concentration'!AB14*HRT!B13/1000</f>
        <v>0</v>
      </c>
      <c r="Z14" s="138">
        <f>'Influent Concentration'!AC14*HRT!B13/1000</f>
        <v>16.291748816704413</v>
      </c>
      <c r="AA14" s="139">
        <f>'Effluent Concentration'!AV14*HRT!D13/1000</f>
        <v>0</v>
      </c>
      <c r="AB14" s="139">
        <f>'Effluent Concentration'!AW14*HRT!D13/1000</f>
        <v>0</v>
      </c>
      <c r="AC14" s="139">
        <f>'Effluent Concentration'!AX14*HRT!D13/1000</f>
        <v>241.73335733637407</v>
      </c>
      <c r="AD14" s="139">
        <f>'Effluent Concentration'!AY14*HRT!D13/1000</f>
        <v>1.1718629656767006</v>
      </c>
      <c r="AE14" s="139">
        <f>'Effluent Concentration'!AZ14*HRT!D13/1000</f>
        <v>0</v>
      </c>
      <c r="AF14" s="139">
        <f>'Effluent Concentration'!BA14*HRT!D13/1000</f>
        <v>257.0227685403035</v>
      </c>
      <c r="AG14" s="139">
        <f>'Effluent Concentration'!BB14*HRT!D13/1000</f>
        <v>0</v>
      </c>
      <c r="AH14" s="139">
        <f>'Effluent Concentration'!BC14*HRT!D13/1000</f>
        <v>0</v>
      </c>
      <c r="AI14" s="139">
        <f>'Effluent Concentration'!BD14*HRT!D13/1000</f>
        <v>0</v>
      </c>
      <c r="AJ14" s="139">
        <f>'Effluent Concentration'!BE14*HRT!D13/1000</f>
        <v>4.7648820942371692</v>
      </c>
      <c r="AK14" s="139">
        <f>'Effluent Concentration'!BF14*HRT!D13/1000</f>
        <v>0</v>
      </c>
      <c r="AL14" s="139">
        <f>Gas!S13*Constants!$E$17</f>
        <v>0</v>
      </c>
      <c r="AM14" s="139">
        <v>0</v>
      </c>
    </row>
    <row r="15" spans="1:39">
      <c r="A15" s="58">
        <f>Rawdata!Y16</f>
        <v>23.013888888890506</v>
      </c>
      <c r="B15" s="107">
        <f>'Influent Concentration'!S15*HRT!B14/1000</f>
        <v>0</v>
      </c>
      <c r="C15" s="125">
        <f>'Influent Concentration'!T15*HRT!B14/1000</f>
        <v>113.46694352716885</v>
      </c>
      <c r="D15" s="107">
        <f>'Influent Concentration'!U15*HRT!B14/1000</f>
        <v>0</v>
      </c>
      <c r="E15" s="107">
        <f>'Influent Concentration'!V15*HRT!B14/1000</f>
        <v>0</v>
      </c>
      <c r="F15" s="125">
        <f>'Influent Concentration'!W15*HRT!B14/1000</f>
        <v>3.5434218428469637</v>
      </c>
      <c r="G15" s="125">
        <f>Gas!Y14-Gas!U14</f>
        <v>119.68045558807262</v>
      </c>
      <c r="H15" s="132">
        <f>'Effluent Concentration'!AJ15*HRT!D14/1000</f>
        <v>0</v>
      </c>
      <c r="I15" s="132">
        <f>'Effluent Concentration'!AK15*HRT!D14/1000</f>
        <v>0</v>
      </c>
      <c r="J15" s="132">
        <f>'Effluent Concentration'!AL15*HRT!D14/1000</f>
        <v>59.865530925236243</v>
      </c>
      <c r="K15" s="132">
        <f>'Effluent Concentration'!AM15*HRT!D14/1000</f>
        <v>0.20634053681590248</v>
      </c>
      <c r="L15" s="132">
        <f>'Effluent Concentration'!AN15*HRT!D14/1000</f>
        <v>0</v>
      </c>
      <c r="M15" s="132">
        <f>'Effluent Concentration'!AO15*HRT!D14/1000</f>
        <v>50.323580081505014</v>
      </c>
      <c r="N15" s="132">
        <f>'Effluent Concentration'!AP15*HRT!D14/1000</f>
        <v>0</v>
      </c>
      <c r="O15" s="132">
        <f>'Effluent Concentration'!AQ15*HRT!D14/1000</f>
        <v>0</v>
      </c>
      <c r="P15" s="132">
        <f>'Effluent Concentration'!AR15*HRT!D14/1000</f>
        <v>0</v>
      </c>
      <c r="Q15" s="132">
        <f>'Effluent Concentration'!AS15*HRT!D14/1000</f>
        <v>1.4472865217167805</v>
      </c>
      <c r="R15" s="132">
        <f>'Effluent Concentration'!AT15*HRT!D14/1000</f>
        <v>0</v>
      </c>
      <c r="S15" s="132">
        <f>Gas!S14</f>
        <v>0</v>
      </c>
      <c r="T15" s="131"/>
      <c r="U15" s="135">
        <f>Gas!V14</f>
        <v>121.26003840262625</v>
      </c>
      <c r="V15" s="138">
        <f>'Influent Concentration'!Y15*HRT!B14/1000</f>
        <v>0</v>
      </c>
      <c r="W15" s="138">
        <f>'Influent Concentration'!Z15*HRT!B14/1000</f>
        <v>510.60124587225982</v>
      </c>
      <c r="X15" s="138">
        <f>'Influent Concentration'!AA15*HRT!B14/1000</f>
        <v>0</v>
      </c>
      <c r="Y15" s="138">
        <f>'Influent Concentration'!AB15*HRT!B14/1000</f>
        <v>0</v>
      </c>
      <c r="Z15" s="138">
        <f>'Influent Concentration'!AC15*HRT!B14/1000</f>
        <v>16.038646236044151</v>
      </c>
      <c r="AA15" s="139">
        <f>'Effluent Concentration'!AV15*HRT!D14/1000</f>
        <v>0</v>
      </c>
      <c r="AB15" s="139">
        <f>'Effluent Concentration'!AW15*HRT!D14/1000</f>
        <v>0</v>
      </c>
      <c r="AC15" s="139">
        <f>'Effluent Concentration'!AX15*HRT!D14/1000</f>
        <v>239.46212370094497</v>
      </c>
      <c r="AD15" s="139">
        <f>'Effluent Concentration'!AY15*HRT!D14/1000</f>
        <v>0.96292250514087818</v>
      </c>
      <c r="AE15" s="139">
        <f>'Effluent Concentration'!AZ15*HRT!D14/1000</f>
        <v>0</v>
      </c>
      <c r="AF15" s="139">
        <f>'Effluent Concentration'!BA15*HRT!D14/1000</f>
        <v>251.6179004075251</v>
      </c>
      <c r="AG15" s="139">
        <f>'Effluent Concentration'!BB15*HRT!D14/1000</f>
        <v>0</v>
      </c>
      <c r="AH15" s="139">
        <f>'Effluent Concentration'!BC15*HRT!D14/1000</f>
        <v>0</v>
      </c>
      <c r="AI15" s="139">
        <f>'Effluent Concentration'!BD15*HRT!D14/1000</f>
        <v>0</v>
      </c>
      <c r="AJ15" s="139">
        <f>'Effluent Concentration'!BE15*HRT!D14/1000</f>
        <v>6.512789347725513</v>
      </c>
      <c r="AK15" s="139">
        <f>'Effluent Concentration'!BF15*HRT!D14/1000</f>
        <v>0</v>
      </c>
      <c r="AL15" s="139">
        <f>Gas!S14*Constants!$E$17</f>
        <v>0</v>
      </c>
      <c r="AM15" s="139">
        <v>0</v>
      </c>
    </row>
    <row r="16" spans="1:39">
      <c r="A16" s="58">
        <f>Rawdata!Y17</f>
        <v>26.003472222226264</v>
      </c>
      <c r="B16" s="107">
        <f>'Influent Concentration'!S16*HRT!B15/1000</f>
        <v>0</v>
      </c>
      <c r="C16" s="125">
        <f>'Influent Concentration'!T16*HRT!B15/1000</f>
        <v>112.66928535600829</v>
      </c>
      <c r="D16" s="107">
        <f>'Influent Concentration'!U16*HRT!B15/1000</f>
        <v>0</v>
      </c>
      <c r="E16" s="107">
        <f>'Influent Concentration'!V16*HRT!B15/1000</f>
        <v>0</v>
      </c>
      <c r="F16" s="125">
        <f>'Influent Concentration'!W16*HRT!B15/1000</f>
        <v>3.5185120382910759</v>
      </c>
      <c r="G16" s="125">
        <f>Gas!Y15-Gas!U15</f>
        <v>114.18696473311547</v>
      </c>
      <c r="H16" s="132">
        <f>'Effluent Concentration'!AJ16*HRT!D15/1000</f>
        <v>0</v>
      </c>
      <c r="I16" s="132">
        <f>'Effluent Concentration'!AK16*HRT!D15/1000</f>
        <v>0</v>
      </c>
      <c r="J16" s="132">
        <f>'Effluent Concentration'!AL16*HRT!D15/1000</f>
        <v>58.28413255129955</v>
      </c>
      <c r="K16" s="132">
        <f>'Effluent Concentration'!AM16*HRT!D15/1000</f>
        <v>0.24542671390439311</v>
      </c>
      <c r="L16" s="132">
        <f>'Effluent Concentration'!AN16*HRT!D15/1000</f>
        <v>0</v>
      </c>
      <c r="M16" s="132">
        <f>'Effluent Concentration'!AO16*HRT!D15/1000</f>
        <v>48.484903940919011</v>
      </c>
      <c r="N16" s="132">
        <f>'Effluent Concentration'!AP16*HRT!D15/1000</f>
        <v>0</v>
      </c>
      <c r="O16" s="132">
        <f>'Effluent Concentration'!AQ16*HRT!D15/1000</f>
        <v>0</v>
      </c>
      <c r="P16" s="132">
        <f>'Effluent Concentration'!AR16*HRT!D15/1000</f>
        <v>0</v>
      </c>
      <c r="Q16" s="132">
        <f>'Effluent Concentration'!AS16*HRT!D15/1000</f>
        <v>2.0592401174285064</v>
      </c>
      <c r="R16" s="132">
        <f>'Effluent Concentration'!AT16*HRT!D15/1000</f>
        <v>0</v>
      </c>
      <c r="S16" s="132">
        <f>Gas!S15</f>
        <v>0.17730895144893719</v>
      </c>
      <c r="T16" s="131"/>
      <c r="U16" s="135">
        <f>Gas!V15</f>
        <v>122.70201211976881</v>
      </c>
      <c r="V16" s="138">
        <f>'Influent Concentration'!Y16*HRT!B15/1000</f>
        <v>0</v>
      </c>
      <c r="W16" s="138">
        <f>'Influent Concentration'!Z16*HRT!B15/1000</f>
        <v>507.01178410203732</v>
      </c>
      <c r="X16" s="138">
        <f>'Influent Concentration'!AA16*HRT!B15/1000</f>
        <v>0</v>
      </c>
      <c r="Y16" s="138">
        <f>'Influent Concentration'!AB16*HRT!B15/1000</f>
        <v>0</v>
      </c>
      <c r="Z16" s="138">
        <f>'Influent Concentration'!AC16*HRT!B15/1000</f>
        <v>15.925896594370133</v>
      </c>
      <c r="AA16" s="139">
        <f>'Effluent Concentration'!AV16*HRT!D15/1000</f>
        <v>0</v>
      </c>
      <c r="AB16" s="139">
        <f>'Effluent Concentration'!AW16*HRT!D15/1000</f>
        <v>0</v>
      </c>
      <c r="AC16" s="139">
        <f>'Effluent Concentration'!AX16*HRT!D15/1000</f>
        <v>233.1365302051982</v>
      </c>
      <c r="AD16" s="139">
        <f>'Effluent Concentration'!AY16*HRT!D15/1000</f>
        <v>1.145324664887168</v>
      </c>
      <c r="AE16" s="139">
        <f>'Effluent Concentration'!AZ16*HRT!D15/1000</f>
        <v>0</v>
      </c>
      <c r="AF16" s="139">
        <f>'Effluent Concentration'!BA16*HRT!D15/1000</f>
        <v>242.42451970459504</v>
      </c>
      <c r="AG16" s="139">
        <f>'Effluent Concentration'!BB16*HRT!D15/1000</f>
        <v>0</v>
      </c>
      <c r="AH16" s="139">
        <f>'Effluent Concentration'!BC16*HRT!D15/1000</f>
        <v>0</v>
      </c>
      <c r="AI16" s="139">
        <f>'Effluent Concentration'!BD16*HRT!D15/1000</f>
        <v>0</v>
      </c>
      <c r="AJ16" s="139">
        <f>'Effluent Concentration'!BE16*HRT!D15/1000</f>
        <v>9.2665805284282801</v>
      </c>
      <c r="AK16" s="139">
        <f>'Effluent Concentration'!BF16*HRT!D15/1000</f>
        <v>0</v>
      </c>
      <c r="AL16" s="139">
        <f>Gas!S15*Constants!$E$17</f>
        <v>0.35461790289787437</v>
      </c>
      <c r="AM16" s="139">
        <v>0</v>
      </c>
    </row>
    <row r="17" spans="1:39">
      <c r="A17" s="58">
        <f>Rawdata!Y18</f>
        <v>28.02986111111386</v>
      </c>
      <c r="B17" s="107">
        <f>'Influent Concentration'!S17*HRT!B16/1000</f>
        <v>0</v>
      </c>
      <c r="C17" s="125">
        <f>'Influent Concentration'!T17*HRT!B16/1000</f>
        <v>109.9330099341247</v>
      </c>
      <c r="D17" s="107">
        <f>'Influent Concentration'!U17*HRT!B16/1000</f>
        <v>0</v>
      </c>
      <c r="E17" s="107">
        <f>'Influent Concentration'!V17*HRT!B16/1000</f>
        <v>0</v>
      </c>
      <c r="F17" s="125">
        <f>'Influent Concentration'!W17*HRT!B16/1000</f>
        <v>3.4330617935188972</v>
      </c>
      <c r="G17" s="125">
        <f>Gas!Y16-Gas!U16</f>
        <v>110.43350366536379</v>
      </c>
      <c r="H17" s="132">
        <f>'Effluent Concentration'!AJ17*HRT!D16/1000</f>
        <v>0</v>
      </c>
      <c r="I17" s="132">
        <f>'Effluent Concentration'!AK17*HRT!D16/1000</f>
        <v>0</v>
      </c>
      <c r="J17" s="132">
        <f>'Effluent Concentration'!AL17*HRT!D16/1000</f>
        <v>56.135380144157011</v>
      </c>
      <c r="K17" s="132">
        <f>'Effluent Concentration'!AM17*HRT!D16/1000</f>
        <v>0.19302199659976038</v>
      </c>
      <c r="L17" s="132">
        <f>'Effluent Concentration'!AN17*HRT!D16/1000</f>
        <v>0</v>
      </c>
      <c r="M17" s="132">
        <f>'Effluent Concentration'!AO17*HRT!D16/1000</f>
        <v>47.244957759031827</v>
      </c>
      <c r="N17" s="132">
        <f>'Effluent Concentration'!AP17*HRT!D16/1000</f>
        <v>0</v>
      </c>
      <c r="O17" s="132">
        <f>'Effluent Concentration'!AQ17*HRT!D16/1000</f>
        <v>0</v>
      </c>
      <c r="P17" s="132">
        <f>'Effluent Concentration'!AR17*HRT!D16/1000</f>
        <v>0</v>
      </c>
      <c r="Q17" s="132">
        <f>'Effluent Concentration'!AS17*HRT!D16/1000</f>
        <v>2.2593554425193703</v>
      </c>
      <c r="R17" s="132">
        <f>'Effluent Concentration'!AT17*HRT!D16/1000</f>
        <v>0</v>
      </c>
      <c r="S17" s="132">
        <f>Gas!S16</f>
        <v>0.35367014784744166</v>
      </c>
      <c r="T17" s="131"/>
      <c r="U17" s="135">
        <f>Gas!V16</f>
        <v>122.12977050919703</v>
      </c>
      <c r="V17" s="138">
        <f>'Influent Concentration'!Y17*HRT!B16/1000</f>
        <v>0</v>
      </c>
      <c r="W17" s="138">
        <f>'Influent Concentration'!Z17*HRT!B16/1000</f>
        <v>494.6985447035612</v>
      </c>
      <c r="X17" s="138">
        <f>'Influent Concentration'!AA17*HRT!B16/1000</f>
        <v>0</v>
      </c>
      <c r="Y17" s="138">
        <f>'Influent Concentration'!AB17*HRT!B16/1000</f>
        <v>0</v>
      </c>
      <c r="Z17" s="138">
        <f>'Influent Concentration'!AC17*HRT!B16/1000</f>
        <v>15.539121802243427</v>
      </c>
      <c r="AA17" s="139">
        <f>'Effluent Concentration'!AV17*HRT!D16/1000</f>
        <v>0</v>
      </c>
      <c r="AB17" s="139">
        <f>'Effluent Concentration'!AW17*HRT!D16/1000</f>
        <v>0</v>
      </c>
      <c r="AC17" s="139">
        <f>'Effluent Concentration'!AX17*HRT!D16/1000</f>
        <v>224.54152057662805</v>
      </c>
      <c r="AD17" s="139">
        <f>'Effluent Concentration'!AY17*HRT!D16/1000</f>
        <v>0.90076931746554834</v>
      </c>
      <c r="AE17" s="139">
        <f>'Effluent Concentration'!AZ17*HRT!D16/1000</f>
        <v>0</v>
      </c>
      <c r="AF17" s="139">
        <f>'Effluent Concentration'!BA17*HRT!D16/1000</f>
        <v>236.22478879515913</v>
      </c>
      <c r="AG17" s="139">
        <f>'Effluent Concentration'!BB17*HRT!D16/1000</f>
        <v>0</v>
      </c>
      <c r="AH17" s="139">
        <f>'Effluent Concentration'!BC17*HRT!D16/1000</f>
        <v>0</v>
      </c>
      <c r="AI17" s="139">
        <f>'Effluent Concentration'!BD17*HRT!D16/1000</f>
        <v>0</v>
      </c>
      <c r="AJ17" s="139">
        <f>'Effluent Concentration'!BE17*HRT!D16/1000</f>
        <v>10.167099491337167</v>
      </c>
      <c r="AK17" s="139">
        <f>'Effluent Concentration'!BF17*HRT!D16/1000</f>
        <v>0</v>
      </c>
      <c r="AL17" s="139">
        <f>Gas!S16*Constants!$E$17</f>
        <v>0.70734029569488333</v>
      </c>
      <c r="AM17" s="139">
        <v>0</v>
      </c>
    </row>
    <row r="18" spans="1:39">
      <c r="A18" s="58">
        <f>Rawdata!Y19</f>
        <v>29.149305555554747</v>
      </c>
      <c r="B18" s="107">
        <f>'Influent Concentration'!S18*HRT!B17/1000</f>
        <v>87.832606659933589</v>
      </c>
      <c r="C18" s="125">
        <f>'Influent Concentration'!T18*HRT!B17/1000</f>
        <v>80.98339254317581</v>
      </c>
      <c r="D18" s="107">
        <f>'Influent Concentration'!U18*HRT!B17/1000</f>
        <v>0</v>
      </c>
      <c r="E18" s="107">
        <f>'Influent Concentration'!V18*HRT!B17/1000</f>
        <v>0</v>
      </c>
      <c r="F18" s="125">
        <f>'Influent Concentration'!W18*HRT!B17/1000</f>
        <v>3.3868811714914271</v>
      </c>
      <c r="G18" s="125">
        <f>Gas!Y17-Gas!U17</f>
        <v>111.10924949138666</v>
      </c>
      <c r="H18" s="132">
        <f>'Effluent Concentration'!AJ18*HRT!D17/1000</f>
        <v>0</v>
      </c>
      <c r="I18" s="132">
        <f>'Effluent Concentration'!AK18*HRT!D17/1000</f>
        <v>0</v>
      </c>
      <c r="J18" s="132">
        <f>'Effluent Concentration'!AL18*HRT!D17/1000</f>
        <v>41.707541891795536</v>
      </c>
      <c r="K18" s="132">
        <f>'Effluent Concentration'!AM18*HRT!D17/1000</f>
        <v>0.27095374499822317</v>
      </c>
      <c r="L18" s="132">
        <f>'Effluent Concentration'!AN18*HRT!D17/1000</f>
        <v>0</v>
      </c>
      <c r="M18" s="132">
        <f>'Effluent Concentration'!AO18*HRT!D17/1000</f>
        <v>34.073883623734524</v>
      </c>
      <c r="N18" s="132">
        <f>'Effluent Concentration'!AP18*HRT!D17/1000</f>
        <v>0</v>
      </c>
      <c r="O18" s="132">
        <f>'Effluent Concentration'!AQ18*HRT!D17/1000</f>
        <v>0</v>
      </c>
      <c r="P18" s="132">
        <f>'Effluent Concentration'!AR18*HRT!D17/1000</f>
        <v>0</v>
      </c>
      <c r="Q18" s="132">
        <f>'Effluent Concentration'!AS18*HRT!D17/1000</f>
        <v>2.3733019486544675</v>
      </c>
      <c r="R18" s="132">
        <f>'Effluent Concentration'!AT18*HRT!D17/1000</f>
        <v>0</v>
      </c>
      <c r="S18" s="132">
        <f>Gas!S17</f>
        <v>0.39816175410013094</v>
      </c>
      <c r="T18" s="131"/>
      <c r="U18" s="135">
        <f>Gas!V17</f>
        <v>122.55592138669122</v>
      </c>
      <c r="V18" s="138">
        <f>'Influent Concentration'!Y18*HRT!B17/1000</f>
        <v>395.24672996970116</v>
      </c>
      <c r="W18" s="138">
        <f>'Influent Concentration'!Z18*HRT!B17/1000</f>
        <v>364.42526644429114</v>
      </c>
      <c r="X18" s="138">
        <f>'Influent Concentration'!AA18*HRT!B17/1000</f>
        <v>0</v>
      </c>
      <c r="Y18" s="138">
        <f>'Influent Concentration'!AB18*HRT!B17/1000</f>
        <v>0</v>
      </c>
      <c r="Z18" s="138">
        <f>'Influent Concentration'!AC18*HRT!B17/1000</f>
        <v>15.330093723592775</v>
      </c>
      <c r="AA18" s="139">
        <f>'Effluent Concentration'!AV18*HRT!D17/1000</f>
        <v>0</v>
      </c>
      <c r="AB18" s="139">
        <f>'Effluent Concentration'!AW18*HRT!D17/1000</f>
        <v>0</v>
      </c>
      <c r="AC18" s="139">
        <f>'Effluent Concentration'!AX18*HRT!D17/1000</f>
        <v>166.83016756718214</v>
      </c>
      <c r="AD18" s="139">
        <f>'Effluent Concentration'!AY18*HRT!D17/1000</f>
        <v>1.264450809991708</v>
      </c>
      <c r="AE18" s="139">
        <f>'Effluent Concentration'!AZ18*HRT!D17/1000</f>
        <v>0</v>
      </c>
      <c r="AF18" s="139">
        <f>'Effluent Concentration'!BA18*HRT!D17/1000</f>
        <v>170.36941811867263</v>
      </c>
      <c r="AG18" s="139">
        <f>'Effluent Concentration'!BB18*HRT!D17/1000</f>
        <v>0</v>
      </c>
      <c r="AH18" s="139">
        <f>'Effluent Concentration'!BC18*HRT!D17/1000</f>
        <v>0</v>
      </c>
      <c r="AI18" s="139">
        <f>'Effluent Concentration'!BD18*HRT!D17/1000</f>
        <v>0</v>
      </c>
      <c r="AJ18" s="139">
        <f>'Effluent Concentration'!BE18*HRT!D17/1000</f>
        <v>10.679858768945104</v>
      </c>
      <c r="AK18" s="139">
        <f>'Effluent Concentration'!BF18*HRT!D17/1000</f>
        <v>0</v>
      </c>
      <c r="AL18" s="139">
        <f>Gas!S17*Constants!$E$17</f>
        <v>0.79632350820026188</v>
      </c>
      <c r="AM18" s="139">
        <v>0</v>
      </c>
    </row>
    <row r="19" spans="1:39">
      <c r="A19" s="58">
        <f>Rawdata!Y20</f>
        <v>29.990972222221899</v>
      </c>
      <c r="B19" s="107">
        <f>'Influent Concentration'!S19*HRT!B18/1000</f>
        <v>94.326922552869789</v>
      </c>
      <c r="C19" s="125">
        <f>'Influent Concentration'!T19*HRT!B18/1000</f>
        <v>86.971279653179479</v>
      </c>
      <c r="D19" s="107">
        <f>'Influent Concentration'!U19*HRT!B18/1000</f>
        <v>0</v>
      </c>
      <c r="E19" s="107">
        <f>'Influent Concentration'!V19*HRT!B18/1000</f>
        <v>0</v>
      </c>
      <c r="F19" s="125">
        <f>'Influent Concentration'!W19*HRT!B18/1000</f>
        <v>3.6373061224969714</v>
      </c>
      <c r="G19" s="125">
        <f>Gas!Y18-Gas!U18</f>
        <v>116.98728525855381</v>
      </c>
      <c r="H19" s="132">
        <f>'Effluent Concentration'!AJ19*HRT!D18/1000</f>
        <v>0</v>
      </c>
      <c r="I19" s="132">
        <f>'Effluent Concentration'!AK19*HRT!D18/1000</f>
        <v>0</v>
      </c>
      <c r="J19" s="132">
        <f>'Effluent Concentration'!AL19*HRT!D18/1000</f>
        <v>50.517487285296689</v>
      </c>
      <c r="K19" s="132">
        <f>'Effluent Concentration'!AM19*HRT!D18/1000</f>
        <v>0.99243292776202818</v>
      </c>
      <c r="L19" s="132">
        <f>'Effluent Concentration'!AN19*HRT!D18/1000</f>
        <v>0</v>
      </c>
      <c r="M19" s="132">
        <f>'Effluent Concentration'!AO19*HRT!D18/1000</f>
        <v>40.995866602025181</v>
      </c>
      <c r="N19" s="132">
        <f>'Effluent Concentration'!AP19*HRT!D18/1000</f>
        <v>0</v>
      </c>
      <c r="O19" s="132">
        <f>'Effluent Concentration'!AQ19*HRT!D18/1000</f>
        <v>0</v>
      </c>
      <c r="P19" s="132">
        <f>'Effluent Concentration'!AR19*HRT!D18/1000</f>
        <v>0</v>
      </c>
      <c r="Q19" s="132">
        <f>'Effluent Concentration'!AS19*HRT!D18/1000</f>
        <v>0.10880381152920156</v>
      </c>
      <c r="R19" s="132">
        <f>'Effluent Concentration'!AT19*HRT!D18/1000</f>
        <v>0</v>
      </c>
      <c r="S19" s="132">
        <f>Gas!S18</f>
        <v>0.48920742742600098</v>
      </c>
      <c r="T19" s="131"/>
      <c r="U19" s="135">
        <f>Gas!V18</f>
        <v>122.98431866287352</v>
      </c>
      <c r="V19" s="138">
        <f>'Influent Concentration'!Y19*HRT!B18/1000</f>
        <v>424.47115148791403</v>
      </c>
      <c r="W19" s="138">
        <f>'Influent Concentration'!Z19*HRT!B18/1000</f>
        <v>391.37075843930762</v>
      </c>
      <c r="X19" s="138">
        <f>'Influent Concentration'!AA19*HRT!B18/1000</f>
        <v>0</v>
      </c>
      <c r="Y19" s="138">
        <f>'Influent Concentration'!AB19*HRT!B18/1000</f>
        <v>0</v>
      </c>
      <c r="Z19" s="138">
        <f>'Influent Concentration'!AC19*HRT!B18/1000</f>
        <v>16.463596133407343</v>
      </c>
      <c r="AA19" s="139">
        <f>'Effluent Concentration'!AV19*HRT!D18/1000</f>
        <v>0</v>
      </c>
      <c r="AB19" s="139">
        <f>'Effluent Concentration'!AW19*HRT!D18/1000</f>
        <v>0</v>
      </c>
      <c r="AC19" s="139">
        <f>'Effluent Concentration'!AX19*HRT!D18/1000</f>
        <v>202.06994914118675</v>
      </c>
      <c r="AD19" s="139">
        <f>'Effluent Concentration'!AY19*HRT!D18/1000</f>
        <v>4.6313536628894649</v>
      </c>
      <c r="AE19" s="139">
        <f>'Effluent Concentration'!AZ19*HRT!D18/1000</f>
        <v>0</v>
      </c>
      <c r="AF19" s="139">
        <f>'Effluent Concentration'!BA19*HRT!D18/1000</f>
        <v>204.97933301012591</v>
      </c>
      <c r="AG19" s="139">
        <f>'Effluent Concentration'!BB19*HRT!D18/1000</f>
        <v>0</v>
      </c>
      <c r="AH19" s="139">
        <f>'Effluent Concentration'!BC19*HRT!D18/1000</f>
        <v>0</v>
      </c>
      <c r="AI19" s="139">
        <f>'Effluent Concentration'!BD19*HRT!D18/1000</f>
        <v>0</v>
      </c>
      <c r="AJ19" s="139">
        <f>'Effluent Concentration'!BE19*HRT!D18/1000</f>
        <v>0.48961715188140703</v>
      </c>
      <c r="AK19" s="139">
        <f>'Effluent Concentration'!BF19*HRT!D18/1000</f>
        <v>0</v>
      </c>
      <c r="AL19" s="139">
        <f>Gas!S18*Constants!$E$17</f>
        <v>0.97841485485200197</v>
      </c>
      <c r="AM19" s="139">
        <v>0</v>
      </c>
    </row>
    <row r="20" spans="1:39">
      <c r="A20" s="58">
        <f>Rawdata!Y21</f>
        <v>32.990972222221899</v>
      </c>
      <c r="B20" s="107">
        <f>'Influent Concentration'!S20*HRT!B19/1000</f>
        <v>96.371858148943303</v>
      </c>
      <c r="C20" s="125">
        <f>'Influent Concentration'!T20*HRT!B19/1000</f>
        <v>88.856750532388602</v>
      </c>
      <c r="D20" s="107">
        <f>'Influent Concentration'!U20*HRT!B19/1000</f>
        <v>0</v>
      </c>
      <c r="E20" s="107">
        <f>'Influent Concentration'!V20*HRT!B19/1000</f>
        <v>0</v>
      </c>
      <c r="F20" s="125">
        <f>'Influent Concentration'!W20*HRT!B19/1000</f>
        <v>3.7161601395941712</v>
      </c>
      <c r="G20" s="125">
        <f>Gas!Y19-Gas!U19</f>
        <v>117.96440718183953</v>
      </c>
      <c r="H20" s="132">
        <f>'Effluent Concentration'!AJ20*HRT!D19/1000</f>
        <v>0</v>
      </c>
      <c r="I20" s="132">
        <f>'Effluent Concentration'!AK20*HRT!D19/1000</f>
        <v>0</v>
      </c>
      <c r="J20" s="132">
        <f>'Effluent Concentration'!AL20*HRT!D19/1000</f>
        <v>103.75919222656131</v>
      </c>
      <c r="K20" s="132">
        <f>'Effluent Concentration'!AM20*HRT!D19/1000</f>
        <v>1.2066637009751449</v>
      </c>
      <c r="L20" s="132">
        <f>'Effluent Concentration'!AN20*HRT!D19/1000</f>
        <v>0</v>
      </c>
      <c r="M20" s="132">
        <f>'Effluent Concentration'!AO20*HRT!D19/1000</f>
        <v>86.169396914282402</v>
      </c>
      <c r="N20" s="132">
        <f>'Effluent Concentration'!AP20*HRT!D19/1000</f>
        <v>0.51194076658040355</v>
      </c>
      <c r="O20" s="132">
        <f>'Effluent Concentration'!AQ20*HRT!D19/1000</f>
        <v>0</v>
      </c>
      <c r="P20" s="132">
        <f>'Effluent Concentration'!AR20*HRT!D19/1000</f>
        <v>1.1491910069947073</v>
      </c>
      <c r="Q20" s="132">
        <f>'Effluent Concentration'!AS20*HRT!D19/1000</f>
        <v>2.8394022711196771</v>
      </c>
      <c r="R20" s="132">
        <f>'Effluent Concentration'!AT20*HRT!D19/1000</f>
        <v>0</v>
      </c>
      <c r="S20" s="132">
        <f>Gas!S19</f>
        <v>0.89366975137757376</v>
      </c>
      <c r="T20" s="131"/>
      <c r="U20" s="135">
        <f>Gas!V19</f>
        <v>121.81066003085319</v>
      </c>
      <c r="V20" s="138">
        <f>'Influent Concentration'!Y20*HRT!B19/1000</f>
        <v>433.6733616702449</v>
      </c>
      <c r="W20" s="138">
        <f>'Influent Concentration'!Z20*HRT!B19/1000</f>
        <v>399.85537739574869</v>
      </c>
      <c r="X20" s="138">
        <f>'Influent Concentration'!AA20*HRT!B19/1000</f>
        <v>0</v>
      </c>
      <c r="Y20" s="138">
        <f>'Influent Concentration'!AB20*HRT!B19/1000</f>
        <v>0</v>
      </c>
      <c r="Z20" s="138">
        <f>'Influent Concentration'!AC20*HRT!B19/1000</f>
        <v>16.820514316057828</v>
      </c>
      <c r="AA20" s="139">
        <f>'Effluent Concentration'!AV20*HRT!D19/1000</f>
        <v>0</v>
      </c>
      <c r="AB20" s="139">
        <f>'Effluent Concentration'!AW20*HRT!D19/1000</f>
        <v>0</v>
      </c>
      <c r="AC20" s="139">
        <f>'Effluent Concentration'!AX20*HRT!D19/1000</f>
        <v>415.03676890624524</v>
      </c>
      <c r="AD20" s="139">
        <f>'Effluent Concentration'!AY20*HRT!D19/1000</f>
        <v>5.6310972712173415</v>
      </c>
      <c r="AE20" s="139">
        <f>'Effluent Concentration'!AZ20*HRT!D19/1000</f>
        <v>0</v>
      </c>
      <c r="AF20" s="139">
        <f>'Effluent Concentration'!BA20*HRT!D19/1000</f>
        <v>430.84698457141201</v>
      </c>
      <c r="AG20" s="139">
        <f>'Effluent Concentration'!BB20*HRT!D19/1000</f>
        <v>2.6620919862180985</v>
      </c>
      <c r="AH20" s="139">
        <f>'Effluent Concentration'!BC20*HRT!D19/1000</f>
        <v>0</v>
      </c>
      <c r="AI20" s="139">
        <f>'Effluent Concentration'!BD20*HRT!D19/1000</f>
        <v>5.1713595314761829</v>
      </c>
      <c r="AJ20" s="139">
        <f>'Effluent Concentration'!BE20*HRT!D19/1000</f>
        <v>12.777310220038546</v>
      </c>
      <c r="AK20" s="139">
        <f>'Effluent Concentration'!BF20*HRT!D19/1000</f>
        <v>0</v>
      </c>
      <c r="AL20" s="139">
        <f>Gas!S19*Constants!$E$17</f>
        <v>1.7873395027551475</v>
      </c>
      <c r="AM20" s="139">
        <v>0</v>
      </c>
    </row>
    <row r="21" spans="1:39">
      <c r="A21" s="58">
        <f>Rawdata!Y22</f>
        <v>35.002083333332848</v>
      </c>
      <c r="B21" s="107">
        <f>'Influent Concentration'!S21*HRT!B20/1000</f>
        <v>96.154991564608792</v>
      </c>
      <c r="C21" s="125">
        <f>'Influent Concentration'!T21*HRT!B20/1000</f>
        <v>88.65679527207557</v>
      </c>
      <c r="D21" s="107">
        <f>'Influent Concentration'!U21*HRT!B20/1000</f>
        <v>0</v>
      </c>
      <c r="E21" s="107">
        <f>'Influent Concentration'!V21*HRT!B20/1000</f>
        <v>0</v>
      </c>
      <c r="F21" s="125">
        <f>'Influent Concentration'!W21*HRT!B20/1000</f>
        <v>3.7077976261821304</v>
      </c>
      <c r="G21" s="125">
        <f>Gas!Y20-Gas!U20</f>
        <v>111.47484621237822</v>
      </c>
      <c r="H21" s="132">
        <f>'Effluent Concentration'!AJ21*HRT!D20/1000</f>
        <v>0</v>
      </c>
      <c r="I21" s="132">
        <f>'Effluent Concentration'!AK21*HRT!D20/1000</f>
        <v>0</v>
      </c>
      <c r="J21" s="132">
        <f>'Effluent Concentration'!AL21*HRT!D20/1000</f>
        <v>115.76140680778916</v>
      </c>
      <c r="K21" s="132">
        <f>'Effluent Concentration'!AM21*HRT!D20/1000</f>
        <v>0.62446008092428817</v>
      </c>
      <c r="L21" s="132">
        <f>'Effluent Concentration'!AN21*HRT!D20/1000</f>
        <v>0</v>
      </c>
      <c r="M21" s="132">
        <f>'Effluent Concentration'!AO21*HRT!D20/1000</f>
        <v>98.47317785351666</v>
      </c>
      <c r="N21" s="132">
        <f>'Effluent Concentration'!AP21*HRT!D20/1000</f>
        <v>0.59394460480145772</v>
      </c>
      <c r="O21" s="132">
        <f>'Effluent Concentration'!AQ21*HRT!D20/1000</f>
        <v>0</v>
      </c>
      <c r="P21" s="132">
        <f>'Effluent Concentration'!AR21*HRT!D20/1000</f>
        <v>0</v>
      </c>
      <c r="Q21" s="132">
        <f>'Effluent Concentration'!AS21*HRT!D20/1000</f>
        <v>3.4980084516881007</v>
      </c>
      <c r="R21" s="132">
        <f>'Effluent Concentration'!AT21*HRT!D20/1000</f>
        <v>0</v>
      </c>
      <c r="S21" s="132">
        <f>Gas!S20</f>
        <v>1.0646224867079488</v>
      </c>
      <c r="T21" s="131"/>
      <c r="U21" s="135">
        <f>Gas!V20</f>
        <v>119.20706291225964</v>
      </c>
      <c r="V21" s="138">
        <f>'Influent Concentration'!Y21*HRT!B20/1000</f>
        <v>432.69746204073959</v>
      </c>
      <c r="W21" s="138">
        <f>'Influent Concentration'!Z21*HRT!B20/1000</f>
        <v>398.95557872434006</v>
      </c>
      <c r="X21" s="138">
        <f>'Influent Concentration'!AA21*HRT!B20/1000</f>
        <v>0</v>
      </c>
      <c r="Y21" s="138">
        <f>'Influent Concentration'!AB21*HRT!B20/1000</f>
        <v>0</v>
      </c>
      <c r="Z21" s="138">
        <f>'Influent Concentration'!AC21*HRT!B20/1000</f>
        <v>16.78266293956122</v>
      </c>
      <c r="AA21" s="139">
        <f>'Effluent Concentration'!AV21*HRT!D20/1000</f>
        <v>0</v>
      </c>
      <c r="AB21" s="139">
        <f>'Effluent Concentration'!AW21*HRT!D20/1000</f>
        <v>0</v>
      </c>
      <c r="AC21" s="139">
        <f>'Effluent Concentration'!AX21*HRT!D20/1000</f>
        <v>463.04562723115663</v>
      </c>
      <c r="AD21" s="139">
        <f>'Effluent Concentration'!AY21*HRT!D20/1000</f>
        <v>2.9141470443133448</v>
      </c>
      <c r="AE21" s="139">
        <f>'Effluent Concentration'!AZ21*HRT!D20/1000</f>
        <v>0</v>
      </c>
      <c r="AF21" s="139">
        <f>'Effluent Concentration'!BA21*HRT!D20/1000</f>
        <v>492.36588926758333</v>
      </c>
      <c r="AG21" s="139">
        <f>'Effluent Concentration'!BB21*HRT!D20/1000</f>
        <v>3.0885119449675793</v>
      </c>
      <c r="AH21" s="139">
        <f>'Effluent Concentration'!BC21*HRT!D20/1000</f>
        <v>0</v>
      </c>
      <c r="AI21" s="139">
        <f>'Effluent Concentration'!BD21*HRT!D20/1000</f>
        <v>0</v>
      </c>
      <c r="AJ21" s="139">
        <f>'Effluent Concentration'!BE21*HRT!D20/1000</f>
        <v>15.741038032596453</v>
      </c>
      <c r="AK21" s="139">
        <f>'Effluent Concentration'!BF21*HRT!D20/1000</f>
        <v>0</v>
      </c>
      <c r="AL21" s="139">
        <f>Gas!S20*Constants!$E$17</f>
        <v>2.1292449734158976</v>
      </c>
      <c r="AM21" s="139">
        <v>0</v>
      </c>
    </row>
    <row r="22" spans="1:39">
      <c r="A22" s="58">
        <f>Rawdata!Y23</f>
        <v>37.01875000000291</v>
      </c>
      <c r="B22" s="107">
        <f>'Influent Concentration'!S22*HRT!B21/1000</f>
        <v>99.826886564742153</v>
      </c>
      <c r="C22" s="125">
        <f>'Influent Concentration'!T22*HRT!B21/1000</f>
        <v>92.042354752559163</v>
      </c>
      <c r="D22" s="107">
        <f>'Influent Concentration'!U22*HRT!B21/1000</f>
        <v>0</v>
      </c>
      <c r="E22" s="107">
        <f>'Influent Concentration'!V22*HRT!B21/1000</f>
        <v>0</v>
      </c>
      <c r="F22" s="125">
        <f>'Influent Concentration'!W22*HRT!B21/1000</f>
        <v>3.8493882325932023</v>
      </c>
      <c r="G22" s="125">
        <f>Gas!Y21-Gas!U21</f>
        <v>99.74385460071835</v>
      </c>
      <c r="H22" s="132">
        <f>'Effluent Concentration'!AJ22*HRT!D21/1000</f>
        <v>0</v>
      </c>
      <c r="I22" s="132">
        <f>'Effluent Concentration'!AK22*HRT!D21/1000</f>
        <v>0</v>
      </c>
      <c r="J22" s="132">
        <f>'Effluent Concentration'!AL22*HRT!D21/1000</f>
        <v>119.03273209715861</v>
      </c>
      <c r="K22" s="132">
        <f>'Effluent Concentration'!AM22*HRT!D21/1000</f>
        <v>1.2710137138243536</v>
      </c>
      <c r="L22" s="132">
        <f>'Effluent Concentration'!AN22*HRT!D21/1000</f>
        <v>0</v>
      </c>
      <c r="M22" s="132">
        <f>'Effluent Concentration'!AO22*HRT!D21/1000</f>
        <v>99.018066753614278</v>
      </c>
      <c r="N22" s="132">
        <f>'Effluent Concentration'!AP22*HRT!D21/1000</f>
        <v>0.69058415979419729</v>
      </c>
      <c r="O22" s="132">
        <f>'Effluent Concentration'!AQ22*HRT!D21/1000</f>
        <v>0</v>
      </c>
      <c r="P22" s="132">
        <f>'Effluent Concentration'!AR22*HRT!D21/1000</f>
        <v>0</v>
      </c>
      <c r="Q22" s="132">
        <f>'Effluent Concentration'!AS22*HRT!D21/1000</f>
        <v>4.6997726786953082</v>
      </c>
      <c r="R22" s="132">
        <f>'Effluent Concentration'!AT22*HRT!D21/1000</f>
        <v>0</v>
      </c>
      <c r="S22" s="132">
        <f>Gas!S21</f>
        <v>0.7150097103994163</v>
      </c>
      <c r="T22" s="131"/>
      <c r="U22" s="135">
        <f>Gas!V21</f>
        <v>117.1733911219136</v>
      </c>
      <c r="V22" s="138">
        <f>'Influent Concentration'!Y22*HRT!B21/1000</f>
        <v>449.22098954133969</v>
      </c>
      <c r="W22" s="138">
        <f>'Influent Concentration'!Z22*HRT!B21/1000</f>
        <v>414.19059638651618</v>
      </c>
      <c r="X22" s="138">
        <f>'Influent Concentration'!AA22*HRT!B21/1000</f>
        <v>0</v>
      </c>
      <c r="Y22" s="138">
        <f>'Influent Concentration'!AB22*HRT!B21/1000</f>
        <v>0</v>
      </c>
      <c r="Z22" s="138">
        <f>'Influent Concentration'!AC22*HRT!B21/1000</f>
        <v>17.423546737000809</v>
      </c>
      <c r="AA22" s="139">
        <f>'Effluent Concentration'!AV22*HRT!D21/1000</f>
        <v>0</v>
      </c>
      <c r="AB22" s="139">
        <f>'Effluent Concentration'!AW22*HRT!D21/1000</f>
        <v>0</v>
      </c>
      <c r="AC22" s="139">
        <f>'Effluent Concentration'!AX22*HRT!D21/1000</f>
        <v>476.13092838863446</v>
      </c>
      <c r="AD22" s="139">
        <f>'Effluent Concentration'!AY22*HRT!D21/1000</f>
        <v>5.9313973311803165</v>
      </c>
      <c r="AE22" s="139">
        <f>'Effluent Concentration'!AZ22*HRT!D21/1000</f>
        <v>0</v>
      </c>
      <c r="AF22" s="139">
        <f>'Effluent Concentration'!BA22*HRT!D21/1000</f>
        <v>495.09033376807139</v>
      </c>
      <c r="AG22" s="139">
        <f>'Effluent Concentration'!BB22*HRT!D21/1000</f>
        <v>3.5910376309298258</v>
      </c>
      <c r="AH22" s="139">
        <f>'Effluent Concentration'!BC22*HRT!D21/1000</f>
        <v>0</v>
      </c>
      <c r="AI22" s="139">
        <f>'Effluent Concentration'!BD22*HRT!D21/1000</f>
        <v>0</v>
      </c>
      <c r="AJ22" s="139">
        <f>'Effluent Concentration'!BE22*HRT!D21/1000</f>
        <v>21.148977054128885</v>
      </c>
      <c r="AK22" s="139">
        <f>'Effluent Concentration'!BF22*HRT!D21/1000</f>
        <v>0</v>
      </c>
      <c r="AL22" s="139">
        <f>Gas!S21*Constants!$E$17</f>
        <v>1.4300194207988326</v>
      </c>
      <c r="AM22" s="139">
        <v>0</v>
      </c>
    </row>
    <row r="23" spans="1:39">
      <c r="A23" s="58">
        <f>Rawdata!Y24</f>
        <v>40.011111111110949</v>
      </c>
      <c r="B23" s="107">
        <f>'Influent Concentration'!S23*HRT!B22/1000</f>
        <v>99.138968574532626</v>
      </c>
      <c r="C23" s="125">
        <f>'Influent Concentration'!T23*HRT!B22/1000</f>
        <v>91.40808082221406</v>
      </c>
      <c r="D23" s="107">
        <f>'Influent Concentration'!U23*HRT!B22/1000</f>
        <v>0</v>
      </c>
      <c r="E23" s="107">
        <f>'Influent Concentration'!V23*HRT!B22/1000</f>
        <v>0</v>
      </c>
      <c r="F23" s="125">
        <f>'Influent Concentration'!W23*HRT!B22/1000</f>
        <v>3.8228616773972299</v>
      </c>
      <c r="G23" s="125">
        <f>Gas!Y22-Gas!U22</f>
        <v>92.445457064799939</v>
      </c>
      <c r="H23" s="132">
        <f>'Effluent Concentration'!AJ23*HRT!D22/1000</f>
        <v>0</v>
      </c>
      <c r="I23" s="132">
        <f>'Effluent Concentration'!AK23*HRT!D22/1000</f>
        <v>0</v>
      </c>
      <c r="J23" s="132">
        <f>'Effluent Concentration'!AL23*HRT!D22/1000</f>
        <v>119.99786554196278</v>
      </c>
      <c r="K23" s="132">
        <f>'Effluent Concentration'!AM23*HRT!D22/1000</f>
        <v>1.3668234767285026</v>
      </c>
      <c r="L23" s="132">
        <f>'Effluent Concentration'!AN23*HRT!D22/1000</f>
        <v>0</v>
      </c>
      <c r="M23" s="132">
        <f>'Effluent Concentration'!AO23*HRT!D22/1000</f>
        <v>99.632490828655691</v>
      </c>
      <c r="N23" s="132">
        <f>'Effluent Concentration'!AP23*HRT!D22/1000</f>
        <v>0.6189311347568931</v>
      </c>
      <c r="O23" s="132">
        <f>'Effluent Concentration'!AQ23*HRT!D22/1000</f>
        <v>0.49125576398922993</v>
      </c>
      <c r="P23" s="132">
        <f>'Effluent Concentration'!AR23*HRT!D22/1000</f>
        <v>0</v>
      </c>
      <c r="Q23" s="132">
        <f>'Effluent Concentration'!AS23*HRT!D22/1000</f>
        <v>3.0636342224884916</v>
      </c>
      <c r="R23" s="132">
        <f>'Effluent Concentration'!AT23*HRT!D22/1000</f>
        <v>0</v>
      </c>
      <c r="S23" s="132">
        <f>Gas!S22</f>
        <v>0.41830523558732974</v>
      </c>
      <c r="T23" s="131"/>
      <c r="U23" s="135">
        <f>Gas!V22</f>
        <v>107.11873017768266</v>
      </c>
      <c r="V23" s="138">
        <f>'Influent Concentration'!Y23*HRT!B22/1000</f>
        <v>446.12535858539684</v>
      </c>
      <c r="W23" s="138">
        <f>'Influent Concentration'!Z23*HRT!B22/1000</f>
        <v>411.33636369996327</v>
      </c>
      <c r="X23" s="138">
        <f>'Influent Concentration'!AA23*HRT!B22/1000</f>
        <v>0</v>
      </c>
      <c r="Y23" s="138">
        <f>'Influent Concentration'!AB23*HRT!B22/1000</f>
        <v>0</v>
      </c>
      <c r="Z23" s="138">
        <f>'Influent Concentration'!AC23*HRT!B22/1000</f>
        <v>17.303479171376935</v>
      </c>
      <c r="AA23" s="139">
        <f>'Effluent Concentration'!AV23*HRT!D22/1000</f>
        <v>0</v>
      </c>
      <c r="AB23" s="139">
        <f>'Effluent Concentration'!AW23*HRT!D22/1000</f>
        <v>0</v>
      </c>
      <c r="AC23" s="139">
        <f>'Effluent Concentration'!AX23*HRT!D22/1000</f>
        <v>479.99146216785113</v>
      </c>
      <c r="AD23" s="139">
        <f>'Effluent Concentration'!AY23*HRT!D22/1000</f>
        <v>6.3785095580663445</v>
      </c>
      <c r="AE23" s="139">
        <f>'Effluent Concentration'!AZ23*HRT!D22/1000</f>
        <v>0</v>
      </c>
      <c r="AF23" s="139">
        <f>'Effluent Concentration'!BA23*HRT!D22/1000</f>
        <v>498.16245414327847</v>
      </c>
      <c r="AG23" s="139">
        <f>'Effluent Concentration'!BB23*HRT!D22/1000</f>
        <v>3.2184419007358445</v>
      </c>
      <c r="AH23" s="139">
        <f>'Effluent Concentration'!BC23*HRT!D22/1000</f>
        <v>2.6200307412758925</v>
      </c>
      <c r="AI23" s="139">
        <f>'Effluent Concentration'!BD23*HRT!D22/1000</f>
        <v>0</v>
      </c>
      <c r="AJ23" s="139">
        <f>'Effluent Concentration'!BE23*HRT!D22/1000</f>
        <v>13.786354001198211</v>
      </c>
      <c r="AK23" s="139">
        <f>'Effluent Concentration'!BF23*HRT!D22/1000</f>
        <v>0</v>
      </c>
      <c r="AL23" s="139">
        <f>Gas!S22*Constants!$E$17</f>
        <v>0.83661047117465948</v>
      </c>
      <c r="AM23" s="139">
        <v>0</v>
      </c>
    </row>
    <row r="24" spans="1:39">
      <c r="A24" s="58">
        <f>Rawdata!Y25</f>
        <v>42.029166666667152</v>
      </c>
      <c r="B24" s="107">
        <f>'Influent Concentration'!S24*HRT!B23/1000</f>
        <v>91.970137457509637</v>
      </c>
      <c r="C24" s="125">
        <f>'Influent Concentration'!T24*HRT!B23/1000</f>
        <v>84.798277396097177</v>
      </c>
      <c r="D24" s="107">
        <f>'Influent Concentration'!U24*HRT!B23/1000</f>
        <v>0</v>
      </c>
      <c r="E24" s="107">
        <f>'Influent Concentration'!V24*HRT!B23/1000</f>
        <v>0</v>
      </c>
      <c r="F24" s="125">
        <f>'Influent Concentration'!W24*HRT!B23/1000</f>
        <v>3.5464269903811294</v>
      </c>
      <c r="G24" s="125">
        <f>Gas!Y23-Gas!U23</f>
        <v>100.18604186683342</v>
      </c>
      <c r="H24" s="132">
        <f>'Effluent Concentration'!AJ24*HRT!D23/1000</f>
        <v>0</v>
      </c>
      <c r="I24" s="132">
        <f>'Effluent Concentration'!AK24*HRT!D23/1000</f>
        <v>0</v>
      </c>
      <c r="J24" s="132">
        <f>'Effluent Concentration'!AL24*HRT!D23/1000</f>
        <v>114.58105418194968</v>
      </c>
      <c r="K24" s="132">
        <f>'Effluent Concentration'!AM24*HRT!D23/1000</f>
        <v>1.2108796310133427</v>
      </c>
      <c r="L24" s="132">
        <f>'Effluent Concentration'!AN24*HRT!D23/1000</f>
        <v>0</v>
      </c>
      <c r="M24" s="132">
        <f>'Effluent Concentration'!AO24*HRT!D23/1000</f>
        <v>95.60072662925468</v>
      </c>
      <c r="N24" s="132">
        <f>'Effluent Concentration'!AP24*HRT!D23/1000</f>
        <v>0.66873844365110047</v>
      </c>
      <c r="O24" s="132">
        <f>'Effluent Concentration'!AQ24*HRT!D23/1000</f>
        <v>0.48333672648838094</v>
      </c>
      <c r="P24" s="132">
        <f>'Effluent Concentration'!AR24*HRT!D23/1000</f>
        <v>0</v>
      </c>
      <c r="Q24" s="132">
        <f>'Effluent Concentration'!AS24*HRT!D23/1000</f>
        <v>2.4137390189019894</v>
      </c>
      <c r="R24" s="132">
        <f>'Effluent Concentration'!AT24*HRT!D23/1000</f>
        <v>0</v>
      </c>
      <c r="S24" s="132">
        <f>Gas!S23</f>
        <v>0.32727167616768765</v>
      </c>
      <c r="T24" s="131"/>
      <c r="U24" s="135">
        <f>Gas!V23</f>
        <v>104.51884411188122</v>
      </c>
      <c r="V24" s="138">
        <f>'Influent Concentration'!Y24*HRT!B23/1000</f>
        <v>413.86561855879341</v>
      </c>
      <c r="W24" s="138">
        <f>'Influent Concentration'!Z24*HRT!B23/1000</f>
        <v>381.59224828243731</v>
      </c>
      <c r="X24" s="138">
        <f>'Influent Concentration'!AA24*HRT!B23/1000</f>
        <v>0</v>
      </c>
      <c r="Y24" s="138">
        <f>'Influent Concentration'!AB24*HRT!B23/1000</f>
        <v>0</v>
      </c>
      <c r="Z24" s="138">
        <f>'Influent Concentration'!AC24*HRT!B23/1000</f>
        <v>16.052248482777742</v>
      </c>
      <c r="AA24" s="139">
        <f>'Effluent Concentration'!AV24*HRT!D23/1000</f>
        <v>0</v>
      </c>
      <c r="AB24" s="139">
        <f>'Effluent Concentration'!AW24*HRT!D23/1000</f>
        <v>0</v>
      </c>
      <c r="AC24" s="139">
        <f>'Effluent Concentration'!AX24*HRT!D23/1000</f>
        <v>458.32421672779873</v>
      </c>
      <c r="AD24" s="139">
        <f>'Effluent Concentration'!AY24*HRT!D23/1000</f>
        <v>5.6507716113956006</v>
      </c>
      <c r="AE24" s="139">
        <f>'Effluent Concentration'!AZ24*HRT!D23/1000</f>
        <v>0</v>
      </c>
      <c r="AF24" s="139">
        <f>'Effluent Concentration'!BA24*HRT!D23/1000</f>
        <v>478.00363314627344</v>
      </c>
      <c r="AG24" s="139">
        <f>'Effluent Concentration'!BB24*HRT!D23/1000</f>
        <v>3.4774399069857229</v>
      </c>
      <c r="AH24" s="139">
        <f>'Effluent Concentration'!BC24*HRT!D23/1000</f>
        <v>2.5777958746046985</v>
      </c>
      <c r="AI24" s="139">
        <f>'Effluent Concentration'!BD24*HRT!D23/1000</f>
        <v>0</v>
      </c>
      <c r="AJ24" s="139">
        <f>'Effluent Concentration'!BE24*HRT!D23/1000</f>
        <v>10.861825585058952</v>
      </c>
      <c r="AK24" s="139">
        <f>'Effluent Concentration'!BF24*HRT!D23/1000</f>
        <v>0</v>
      </c>
      <c r="AL24" s="139">
        <f>Gas!S23*Constants!$E$17</f>
        <v>0.65454335233537531</v>
      </c>
      <c r="AM24" s="139">
        <v>0</v>
      </c>
    </row>
    <row r="25" spans="1:39">
      <c r="A25" s="58">
        <f>Rawdata!Y26</f>
        <v>44.022222222221899</v>
      </c>
      <c r="B25" s="107">
        <f>'Influent Concentration'!S25*HRT!B24/1000</f>
        <v>92.123408046391461</v>
      </c>
      <c r="C25" s="125">
        <f>'Influent Concentration'!T25*HRT!B24/1000</f>
        <v>84.939595896557918</v>
      </c>
      <c r="D25" s="107">
        <f>'Influent Concentration'!U25*HRT!B24/1000</f>
        <v>0</v>
      </c>
      <c r="E25" s="107">
        <f>'Influent Concentration'!V25*HRT!B24/1000</f>
        <v>0</v>
      </c>
      <c r="F25" s="125">
        <f>'Influent Concentration'!W25*HRT!B24/1000</f>
        <v>3.5523372017635277</v>
      </c>
      <c r="G25" s="125">
        <f>Gas!Y24-Gas!U24</f>
        <v>106.74588965651947</v>
      </c>
      <c r="H25" s="132">
        <f>'Effluent Concentration'!AJ25*HRT!D24/1000</f>
        <v>0</v>
      </c>
      <c r="I25" s="132">
        <f>'Effluent Concentration'!AK25*HRT!D24/1000</f>
        <v>0</v>
      </c>
      <c r="J25" s="132">
        <f>'Effluent Concentration'!AL25*HRT!D24/1000</f>
        <v>115.45942556666982</v>
      </c>
      <c r="K25" s="132">
        <f>'Effluent Concentration'!AM25*HRT!D24/1000</f>
        <v>1.4588246556863915</v>
      </c>
      <c r="L25" s="132">
        <f>'Effluent Concentration'!AN25*HRT!D24/1000</f>
        <v>0</v>
      </c>
      <c r="M25" s="132">
        <f>'Effluent Concentration'!AO25*HRT!D24/1000</f>
        <v>94.797783038340285</v>
      </c>
      <c r="N25" s="132">
        <f>'Effluent Concentration'!AP25*HRT!D24/1000</f>
        <v>0.63553064761568312</v>
      </c>
      <c r="O25" s="132">
        <f>'Effluent Concentration'!AQ25*HRT!D24/1000</f>
        <v>0.49171776546204338</v>
      </c>
      <c r="P25" s="132">
        <f>'Effluent Concentration'!AR25*HRT!D24/1000</f>
        <v>0</v>
      </c>
      <c r="Q25" s="132">
        <f>'Effluent Concentration'!AS25*HRT!D24/1000</f>
        <v>1.7541684298838744</v>
      </c>
      <c r="R25" s="132">
        <f>'Effluent Concentration'!AT25*HRT!D24/1000</f>
        <v>0</v>
      </c>
      <c r="S25" s="132">
        <f>Gas!S24</f>
        <v>0.41648805952602241</v>
      </c>
      <c r="T25" s="131"/>
      <c r="U25" s="135">
        <f>Gas!V24</f>
        <v>106.75543951065382</v>
      </c>
      <c r="V25" s="138">
        <f>'Influent Concentration'!Y25*HRT!B24/1000</f>
        <v>414.55533620876162</v>
      </c>
      <c r="W25" s="138">
        <f>'Influent Concentration'!Z25*HRT!B24/1000</f>
        <v>382.22818153451061</v>
      </c>
      <c r="X25" s="138">
        <f>'Influent Concentration'!AA25*HRT!B24/1000</f>
        <v>0</v>
      </c>
      <c r="Y25" s="138">
        <f>'Influent Concentration'!AB25*HRT!B24/1000</f>
        <v>0</v>
      </c>
      <c r="Z25" s="138">
        <f>'Influent Concentration'!AC25*HRT!B24/1000</f>
        <v>16.078999965877021</v>
      </c>
      <c r="AA25" s="139">
        <f>'Effluent Concentration'!AV25*HRT!D24/1000</f>
        <v>0</v>
      </c>
      <c r="AB25" s="139">
        <f>'Effluent Concentration'!AW25*HRT!D24/1000</f>
        <v>0</v>
      </c>
      <c r="AC25" s="139">
        <f>'Effluent Concentration'!AX25*HRT!D24/1000</f>
        <v>461.83770226667929</v>
      </c>
      <c r="AD25" s="139">
        <f>'Effluent Concentration'!AY25*HRT!D24/1000</f>
        <v>6.8078483932031597</v>
      </c>
      <c r="AE25" s="139">
        <f>'Effluent Concentration'!AZ25*HRT!D24/1000</f>
        <v>0</v>
      </c>
      <c r="AF25" s="139">
        <f>'Effluent Concentration'!BA25*HRT!D24/1000</f>
        <v>473.98891519170149</v>
      </c>
      <c r="AG25" s="139">
        <f>'Effluent Concentration'!BB25*HRT!D24/1000</f>
        <v>3.3047593676015525</v>
      </c>
      <c r="AH25" s="139">
        <f>'Effluent Concentration'!BC25*HRT!D24/1000</f>
        <v>2.6224947491308974</v>
      </c>
      <c r="AI25" s="139">
        <f>'Effluent Concentration'!BD25*HRT!D24/1000</f>
        <v>0</v>
      </c>
      <c r="AJ25" s="139">
        <f>'Effluent Concentration'!BE25*HRT!D24/1000</f>
        <v>7.8937579344774358</v>
      </c>
      <c r="AK25" s="139">
        <f>'Effluent Concentration'!BF25*HRT!D24/1000</f>
        <v>0</v>
      </c>
      <c r="AL25" s="139">
        <f>Gas!S24*Constants!$E$17</f>
        <v>0.83297611905204483</v>
      </c>
      <c r="AM25" s="139">
        <v>0</v>
      </c>
    </row>
    <row r="26" spans="1:39">
      <c r="A26" s="58">
        <f>Rawdata!Y27</f>
        <v>46.997222222220444</v>
      </c>
      <c r="B26" s="107">
        <f>'Influent Concentration'!S26*HRT!B25/1000</f>
        <v>102.20772028886292</v>
      </c>
      <c r="C26" s="125">
        <f>'Influent Concentration'!T26*HRT!B25/1000</f>
        <v>128.31949898051221</v>
      </c>
      <c r="D26" s="107">
        <f>'Influent Concentration'!U26*HRT!B25/1000</f>
        <v>0</v>
      </c>
      <c r="E26" s="107">
        <f>'Influent Concentration'!V26*HRT!B25/1000</f>
        <v>0</v>
      </c>
      <c r="F26" s="125">
        <f>'Influent Concentration'!W26*HRT!B25/1000</f>
        <v>3.8277095111117529</v>
      </c>
      <c r="G26" s="125">
        <f>Gas!Y25-Gas!U25</f>
        <v>120.14481391708318</v>
      </c>
      <c r="H26" s="132">
        <f>'Effluent Concentration'!AJ26*HRT!D25/1000</f>
        <v>0</v>
      </c>
      <c r="I26" s="132">
        <f>'Effluent Concentration'!AK26*HRT!D25/1000</f>
        <v>0</v>
      </c>
      <c r="J26" s="132">
        <f>'Effluent Concentration'!AL26*HRT!D25/1000</f>
        <v>123.17817956797629</v>
      </c>
      <c r="K26" s="132">
        <f>'Effluent Concentration'!AM26*HRT!D25/1000</f>
        <v>1.7084333799757416</v>
      </c>
      <c r="L26" s="132">
        <f>'Effluent Concentration'!AN26*HRT!D25/1000</f>
        <v>0</v>
      </c>
      <c r="M26" s="132">
        <f>'Effluent Concentration'!AO26*HRT!D25/1000</f>
        <v>101.91563021062329</v>
      </c>
      <c r="N26" s="132">
        <f>'Effluent Concentration'!AP26*HRT!D25/1000</f>
        <v>0.62981940130956626</v>
      </c>
      <c r="O26" s="132">
        <f>'Effluent Concentration'!AQ26*HRT!D25/1000</f>
        <v>0.28735070563210185</v>
      </c>
      <c r="P26" s="132">
        <f>'Effluent Concentration'!AR26*HRT!D25/1000</f>
        <v>0</v>
      </c>
      <c r="Q26" s="132">
        <f>'Effluent Concentration'!AS26*HRT!D25/1000</f>
        <v>1.7124219539725116</v>
      </c>
      <c r="R26" s="132">
        <f>'Effluent Concentration'!AT26*HRT!D25/1000</f>
        <v>0</v>
      </c>
      <c r="S26" s="132">
        <f>Gas!S25</f>
        <v>0.43062657317950997</v>
      </c>
      <c r="T26" s="131"/>
      <c r="U26" s="135">
        <f>Gas!V25</f>
        <v>110.79147424760311</v>
      </c>
      <c r="V26" s="138">
        <f>'Influent Concentration'!Y26*HRT!B25/1000</f>
        <v>459.93474129988311</v>
      </c>
      <c r="W26" s="138">
        <f>'Influent Concentration'!Z26*HRT!B25/1000</f>
        <v>577.43774541230493</v>
      </c>
      <c r="X26" s="138">
        <f>'Influent Concentration'!AA26*HRT!B25/1000</f>
        <v>0</v>
      </c>
      <c r="Y26" s="138">
        <f>'Influent Concentration'!AB26*HRT!B25/1000</f>
        <v>0</v>
      </c>
      <c r="Z26" s="138">
        <f>'Influent Concentration'!AC26*HRT!B25/1000</f>
        <v>17.325421997663721</v>
      </c>
      <c r="AA26" s="139">
        <f>'Effluent Concentration'!AV26*HRT!D25/1000</f>
        <v>0</v>
      </c>
      <c r="AB26" s="139">
        <f>'Effluent Concentration'!AW26*HRT!D25/1000</f>
        <v>0</v>
      </c>
      <c r="AC26" s="139">
        <f>'Effluent Concentration'!AX26*HRT!D25/1000</f>
        <v>492.71271827190515</v>
      </c>
      <c r="AD26" s="139">
        <f>'Effluent Concentration'!AY26*HRT!D25/1000</f>
        <v>7.9726891065534611</v>
      </c>
      <c r="AE26" s="139">
        <f>'Effluent Concentration'!AZ26*HRT!D25/1000</f>
        <v>0</v>
      </c>
      <c r="AF26" s="139">
        <f>'Effluent Concentration'!BA26*HRT!D25/1000</f>
        <v>509.57815105311647</v>
      </c>
      <c r="AG26" s="139">
        <f>'Effluent Concentration'!BB26*HRT!D25/1000</f>
        <v>3.2750608868097446</v>
      </c>
      <c r="AH26" s="139">
        <f>'Effluent Concentration'!BC26*HRT!D25/1000</f>
        <v>1.5325370967045433</v>
      </c>
      <c r="AI26" s="139">
        <f>'Effluent Concentration'!BD26*HRT!D25/1000</f>
        <v>0</v>
      </c>
      <c r="AJ26" s="139">
        <f>'Effluent Concentration'!BE26*HRT!D25/1000</f>
        <v>7.7058987928763027</v>
      </c>
      <c r="AK26" s="139">
        <f>'Effluent Concentration'!BF26*HRT!D25/1000</f>
        <v>0</v>
      </c>
      <c r="AL26" s="139">
        <f>Gas!S25*Constants!$E$17</f>
        <v>0.86125314635901995</v>
      </c>
      <c r="AM26" s="139">
        <v>0</v>
      </c>
    </row>
    <row r="27" spans="1:39">
      <c r="A27" s="58">
        <f>Rawdata!Y28</f>
        <v>48.994444444448163</v>
      </c>
      <c r="B27" s="107">
        <f>'Influent Concentration'!S27*HRT!B26/1000</f>
        <v>101.23150085250397</v>
      </c>
      <c r="C27" s="125">
        <f>'Influent Concentration'!T27*HRT!B26/1000</f>
        <v>127.09387738740182</v>
      </c>
      <c r="D27" s="107">
        <f>'Influent Concentration'!U27*HRT!B26/1000</f>
        <v>0</v>
      </c>
      <c r="E27" s="107">
        <f>'Influent Concentration'!V27*HRT!B26/1000</f>
        <v>0</v>
      </c>
      <c r="F27" s="125">
        <f>'Influent Concentration'!W27*HRT!B26/1000</f>
        <v>3.7911498029906592</v>
      </c>
      <c r="G27" s="125">
        <f>Gas!Y26-Gas!U26</f>
        <v>115.75688741075874</v>
      </c>
      <c r="H27" s="132">
        <f>'Effluent Concentration'!AJ27*HRT!D26/1000</f>
        <v>0</v>
      </c>
      <c r="I27" s="132">
        <f>'Effluent Concentration'!AK27*HRT!D26/1000</f>
        <v>0</v>
      </c>
      <c r="J27" s="132">
        <f>'Effluent Concentration'!AL27*HRT!D26/1000</f>
        <v>123.15766331332169</v>
      </c>
      <c r="K27" s="132">
        <f>'Effluent Concentration'!AM27*HRT!D26/1000</f>
        <v>1.5415713503678883</v>
      </c>
      <c r="L27" s="132">
        <f>'Effluent Concentration'!AN27*HRT!D26/1000</f>
        <v>0</v>
      </c>
      <c r="M27" s="132">
        <f>'Effluent Concentration'!AO27*HRT!D26/1000</f>
        <v>100.88725723264709</v>
      </c>
      <c r="N27" s="132">
        <f>'Effluent Concentration'!AP27*HRT!D26/1000</f>
        <v>0.6440071850214093</v>
      </c>
      <c r="O27" s="132">
        <f>'Effluent Concentration'!AQ27*HRT!D26/1000</f>
        <v>0</v>
      </c>
      <c r="P27" s="132">
        <f>'Effluent Concentration'!AR27*HRT!D26/1000</f>
        <v>0</v>
      </c>
      <c r="Q27" s="132">
        <f>'Effluent Concentration'!AS27*HRT!D26/1000</f>
        <v>1.9823341343735308</v>
      </c>
      <c r="R27" s="132">
        <f>'Effluent Concentration'!AT27*HRT!D26/1000</f>
        <v>0</v>
      </c>
      <c r="S27" s="132">
        <f>Gas!S26</f>
        <v>0.33638034845116882</v>
      </c>
      <c r="T27" s="131"/>
      <c r="U27" s="135">
        <f>Gas!V26</f>
        <v>106.30910501338091</v>
      </c>
      <c r="V27" s="138">
        <f>'Influent Concentration'!Y27*HRT!B26/1000</f>
        <v>455.5417538362679</v>
      </c>
      <c r="W27" s="138">
        <f>'Influent Concentration'!Z27*HRT!B26/1000</f>
        <v>571.92244824330828</v>
      </c>
      <c r="X27" s="138">
        <f>'Influent Concentration'!AA27*HRT!B26/1000</f>
        <v>0</v>
      </c>
      <c r="Y27" s="138">
        <f>'Influent Concentration'!AB27*HRT!B26/1000</f>
        <v>0</v>
      </c>
      <c r="Z27" s="138">
        <f>'Influent Concentration'!AC27*HRT!B26/1000</f>
        <v>17.159941213536666</v>
      </c>
      <c r="AA27" s="139">
        <f>'Effluent Concentration'!AV27*HRT!D26/1000</f>
        <v>0</v>
      </c>
      <c r="AB27" s="139">
        <f>'Effluent Concentration'!AW27*HRT!D26/1000</f>
        <v>0</v>
      </c>
      <c r="AC27" s="139">
        <f>'Effluent Concentration'!AX27*HRT!D26/1000</f>
        <v>492.63065325328677</v>
      </c>
      <c r="AD27" s="139">
        <f>'Effluent Concentration'!AY27*HRT!D26/1000</f>
        <v>7.1939996350501447</v>
      </c>
      <c r="AE27" s="139">
        <f>'Effluent Concentration'!AZ27*HRT!D26/1000</f>
        <v>0</v>
      </c>
      <c r="AF27" s="139">
        <f>'Effluent Concentration'!BA27*HRT!D26/1000</f>
        <v>504.43628616323542</v>
      </c>
      <c r="AG27" s="139">
        <f>'Effluent Concentration'!BB27*HRT!D26/1000</f>
        <v>3.3488373621113285</v>
      </c>
      <c r="AH27" s="139">
        <f>'Effluent Concentration'!BC27*HRT!D26/1000</f>
        <v>0</v>
      </c>
      <c r="AI27" s="139">
        <f>'Effluent Concentration'!BD27*HRT!D26/1000</f>
        <v>0</v>
      </c>
      <c r="AJ27" s="139">
        <f>'Effluent Concentration'!BE27*HRT!D26/1000</f>
        <v>8.9205036046808885</v>
      </c>
      <c r="AK27" s="139">
        <f>'Effluent Concentration'!BF27*HRT!D26/1000</f>
        <v>0</v>
      </c>
      <c r="AL27" s="139">
        <f>Gas!S26*Constants!$E$17</f>
        <v>0.67276069690233764</v>
      </c>
      <c r="AM27" s="139">
        <v>0</v>
      </c>
    </row>
    <row r="28" spans="1:39">
      <c r="A28" s="58">
        <f>Rawdata!Y29</f>
        <v>50.971527777779556</v>
      </c>
      <c r="B28" s="107">
        <f>'Influent Concentration'!S28*HRT!B27/1000</f>
        <v>97.716406783360654</v>
      </c>
      <c r="C28" s="125">
        <f>'Influent Concentration'!T28*HRT!B27/1000</f>
        <v>122.68075567265215</v>
      </c>
      <c r="D28" s="107">
        <f>'Influent Concentration'!U28*HRT!B27/1000</f>
        <v>0</v>
      </c>
      <c r="E28" s="107">
        <f>'Influent Concentration'!V28*HRT!B27/1000</f>
        <v>0</v>
      </c>
      <c r="F28" s="125">
        <f>'Influent Concentration'!W28*HRT!B27/1000</f>
        <v>3.6595084850658872</v>
      </c>
      <c r="G28" s="125">
        <f>Gas!Y27-Gas!U27</f>
        <v>105.26756622895755</v>
      </c>
      <c r="H28" s="132">
        <f>'Effluent Concentration'!AJ28*HRT!D27/1000</f>
        <v>0</v>
      </c>
      <c r="I28" s="132">
        <f>'Effluent Concentration'!AK28*HRT!D27/1000</f>
        <v>0</v>
      </c>
      <c r="J28" s="132">
        <f>'Effluent Concentration'!AL28*HRT!D27/1000</f>
        <v>113.22645178540959</v>
      </c>
      <c r="K28" s="132">
        <f>'Effluent Concentration'!AM28*HRT!D27/1000</f>
        <v>1.7547753726464523</v>
      </c>
      <c r="L28" s="132">
        <f>'Effluent Concentration'!AN28*HRT!D27/1000</f>
        <v>0</v>
      </c>
      <c r="M28" s="132">
        <f>'Effluent Concentration'!AO28*HRT!D27/1000</f>
        <v>93.434297499862282</v>
      </c>
      <c r="N28" s="132">
        <f>'Effluent Concentration'!AP28*HRT!D27/1000</f>
        <v>0.64940122136077671</v>
      </c>
      <c r="O28" s="132">
        <f>'Effluent Concentration'!AQ28*HRT!D27/1000</f>
        <v>0</v>
      </c>
      <c r="P28" s="132">
        <f>'Effluent Concentration'!AR28*HRT!D27/1000</f>
        <v>0</v>
      </c>
      <c r="Q28" s="132">
        <f>'Effluent Concentration'!AS28*HRT!D27/1000</f>
        <v>1.4355035747978879</v>
      </c>
      <c r="R28" s="132">
        <f>'Effluent Concentration'!AT28*HRT!D27/1000</f>
        <v>0</v>
      </c>
      <c r="S28" s="132">
        <f>Gas!S27</f>
        <v>0.40880608244255279</v>
      </c>
      <c r="T28" s="131"/>
      <c r="U28" s="135">
        <f>Gas!V27</f>
        <v>101.18450475146432</v>
      </c>
      <c r="V28" s="138">
        <f>'Influent Concentration'!Y28*HRT!B27/1000</f>
        <v>439.72383052512299</v>
      </c>
      <c r="W28" s="138">
        <f>'Influent Concentration'!Z28*HRT!B27/1000</f>
        <v>552.06340052693474</v>
      </c>
      <c r="X28" s="138">
        <f>'Influent Concentration'!AA28*HRT!B27/1000</f>
        <v>0</v>
      </c>
      <c r="Y28" s="138">
        <f>'Influent Concentration'!AB28*HRT!B27/1000</f>
        <v>0</v>
      </c>
      <c r="Z28" s="138">
        <f>'Influent Concentration'!AC28*HRT!B27/1000</f>
        <v>16.564091037666646</v>
      </c>
      <c r="AA28" s="139">
        <f>'Effluent Concentration'!AV28*HRT!D27/1000</f>
        <v>0</v>
      </c>
      <c r="AB28" s="139">
        <f>'Effluent Concentration'!AW28*HRT!D27/1000</f>
        <v>0</v>
      </c>
      <c r="AC28" s="139">
        <f>'Effluent Concentration'!AX28*HRT!D27/1000</f>
        <v>452.90580714163838</v>
      </c>
      <c r="AD28" s="139">
        <f>'Effluent Concentration'!AY28*HRT!D27/1000</f>
        <v>8.1889517390167779</v>
      </c>
      <c r="AE28" s="139">
        <f>'Effluent Concentration'!AZ28*HRT!D27/1000</f>
        <v>0</v>
      </c>
      <c r="AF28" s="139">
        <f>'Effluent Concentration'!BA28*HRT!D27/1000</f>
        <v>467.17148749931141</v>
      </c>
      <c r="AG28" s="139">
        <f>'Effluent Concentration'!BB28*HRT!D27/1000</f>
        <v>3.3768863510760387</v>
      </c>
      <c r="AH28" s="139">
        <f>'Effluent Concentration'!BC28*HRT!D27/1000</f>
        <v>0</v>
      </c>
      <c r="AI28" s="139">
        <f>'Effluent Concentration'!BD28*HRT!D27/1000</f>
        <v>0</v>
      </c>
      <c r="AJ28" s="139">
        <f>'Effluent Concentration'!BE28*HRT!D27/1000</f>
        <v>6.4597660865904958</v>
      </c>
      <c r="AK28" s="139">
        <f>'Effluent Concentration'!BF28*HRT!D27/1000</f>
        <v>0</v>
      </c>
      <c r="AL28" s="139">
        <f>Gas!S27*Constants!$E$17</f>
        <v>0.81761216488510557</v>
      </c>
      <c r="AM28" s="139">
        <v>0</v>
      </c>
    </row>
    <row r="29" spans="1:39">
      <c r="A29" s="129">
        <f>Rawdata!Y30</f>
        <v>53.979166666664241</v>
      </c>
      <c r="B29" s="107">
        <f>'Influent Concentration'!S29*HRT!B28/1000</f>
        <v>95.14001321831762</v>
      </c>
      <c r="C29" s="125">
        <f>'Influent Concentration'!T29*HRT!B28/1000</f>
        <v>119.44615137359743</v>
      </c>
      <c r="D29" s="107">
        <f>'Influent Concentration'!U29*HRT!B28/1000</f>
        <v>0</v>
      </c>
      <c r="E29" s="107">
        <f>'Influent Concentration'!V29*HRT!B28/1000</f>
        <v>0</v>
      </c>
      <c r="F29" s="125">
        <f>'Influent Concentration'!W29*HRT!B28/1000</f>
        <v>3.5630217800947661</v>
      </c>
      <c r="G29" s="125">
        <f>Gas!Y28-Gas!U28</f>
        <v>105.59826664935281</v>
      </c>
      <c r="H29" s="132">
        <f>'Effluent Concentration'!AJ29*HRT!D28/1000</f>
        <v>0</v>
      </c>
      <c r="I29" s="132">
        <f>'Effluent Concentration'!AK29*HRT!D28/1000</f>
        <v>0</v>
      </c>
      <c r="J29" s="132">
        <f>'Effluent Concentration'!AL29*HRT!D28/1000</f>
        <v>115.13757030485449</v>
      </c>
      <c r="K29" s="132">
        <f>'Effluent Concentration'!AM29*HRT!D28/1000</f>
        <v>1.5326597972448772</v>
      </c>
      <c r="L29" s="132">
        <f>'Effluent Concentration'!AN29*HRT!D28/1000</f>
        <v>0</v>
      </c>
      <c r="M29" s="132">
        <f>'Effluent Concentration'!AO29*HRT!D28/1000</f>
        <v>95.686051362455828</v>
      </c>
      <c r="N29" s="132">
        <f>'Effluent Concentration'!AP29*HRT!D28/1000</f>
        <v>0.60350234793697355</v>
      </c>
      <c r="O29" s="132">
        <f>'Effluent Concentration'!AQ29*HRT!D28/1000</f>
        <v>0</v>
      </c>
      <c r="P29" s="132">
        <f>'Effluent Concentration'!AR29*HRT!D28/1000</f>
        <v>0</v>
      </c>
      <c r="Q29" s="132">
        <f>'Effluent Concentration'!AS29*HRT!D28/1000</f>
        <v>1.5600062141240496</v>
      </c>
      <c r="R29" s="132">
        <f>'Effluent Concentration'!AT29*HRT!D28/1000</f>
        <v>0</v>
      </c>
      <c r="S29" s="132">
        <f>Gas!S28</f>
        <v>0.4019728460196148</v>
      </c>
      <c r="T29" s="131"/>
      <c r="U29" s="135">
        <f>Gas!V28</f>
        <v>100.89194335127836</v>
      </c>
      <c r="V29" s="138">
        <f>'Influent Concentration'!Y29*HRT!B28/1000</f>
        <v>428.13005948242932</v>
      </c>
      <c r="W29" s="138">
        <f>'Influent Concentration'!Z29*HRT!B28/1000</f>
        <v>537.50768118118845</v>
      </c>
      <c r="X29" s="138">
        <f>'Influent Concentration'!AA29*HRT!B28/1000</f>
        <v>0</v>
      </c>
      <c r="Y29" s="138">
        <f>'Influent Concentration'!AB29*HRT!B28/1000</f>
        <v>0</v>
      </c>
      <c r="Z29" s="138">
        <f>'Influent Concentration'!AC29*HRT!B28/1000</f>
        <v>16.127361741481572</v>
      </c>
      <c r="AA29" s="139">
        <f>'Effluent Concentration'!AV29*HRT!D28/1000</f>
        <v>0</v>
      </c>
      <c r="AB29" s="139">
        <f>'Effluent Concentration'!AW29*HRT!D28/1000</f>
        <v>0</v>
      </c>
      <c r="AC29" s="139">
        <f>'Effluent Concentration'!AX29*HRT!D28/1000</f>
        <v>460.55028121941797</v>
      </c>
      <c r="AD29" s="139">
        <f>'Effluent Concentration'!AY29*HRT!D28/1000</f>
        <v>7.1524123871427596</v>
      </c>
      <c r="AE29" s="139">
        <f>'Effluent Concentration'!AZ29*HRT!D28/1000</f>
        <v>0</v>
      </c>
      <c r="AF29" s="139">
        <f>'Effluent Concentration'!BA29*HRT!D28/1000</f>
        <v>478.43025681227914</v>
      </c>
      <c r="AG29" s="139">
        <f>'Effluent Concentration'!BB29*HRT!D28/1000</f>
        <v>3.1382122092722629</v>
      </c>
      <c r="AH29" s="139">
        <f>'Effluent Concentration'!BC29*HRT!D28/1000</f>
        <v>0</v>
      </c>
      <c r="AI29" s="139">
        <f>'Effluent Concentration'!BD29*HRT!D28/1000</f>
        <v>0</v>
      </c>
      <c r="AJ29" s="139">
        <f>'Effluent Concentration'!BE29*HRT!D28/1000</f>
        <v>7.0200279635582241</v>
      </c>
      <c r="AK29" s="139">
        <f>'Effluent Concentration'!BF29*HRT!D28/1000</f>
        <v>0</v>
      </c>
      <c r="AL29" s="139">
        <f>Gas!S28*Constants!$E$17</f>
        <v>0.80394569203922961</v>
      </c>
      <c r="AM29" s="139">
        <v>0</v>
      </c>
    </row>
    <row r="30" spans="1:39">
      <c r="A30" s="129">
        <f>Rawdata!Y32</f>
        <v>56.019444444442343</v>
      </c>
      <c r="B30" s="107">
        <f>'Influent Concentration'!S30*HRT!B30/1000</f>
        <v>83.947737865983058</v>
      </c>
      <c r="C30" s="125">
        <f>'Influent Concentration'!T30*HRT!B30/1000</f>
        <v>106.72734568775482</v>
      </c>
      <c r="D30" s="107">
        <f>'Influent Concentration'!U30*HRT!B30/1000</f>
        <v>59.747376238639852</v>
      </c>
      <c r="E30" s="107">
        <f>'Influent Concentration'!V30*HRT!B30/1000</f>
        <v>0</v>
      </c>
      <c r="F30" s="125">
        <f>'Influent Concentration'!W30*HRT!B30/1000</f>
        <v>3.3701601227232993</v>
      </c>
      <c r="G30" s="125">
        <f>Gas!Y30-Gas!U30</f>
        <v>118.05212949245833</v>
      </c>
      <c r="H30" s="132">
        <f>'Effluent Concentration'!AJ30*HRT!D30/1000</f>
        <v>0</v>
      </c>
      <c r="I30" s="132">
        <f>'Effluent Concentration'!AK30*HRT!D30/1000</f>
        <v>0</v>
      </c>
      <c r="J30" s="132">
        <f>'Effluent Concentration'!AL30*HRT!D30/1000</f>
        <v>95.768745943903241</v>
      </c>
      <c r="K30" s="132">
        <f>'Effluent Concentration'!AM30*HRT!D30/1000</f>
        <v>1.4373158932075671</v>
      </c>
      <c r="L30" s="132">
        <f>'Effluent Concentration'!AN30*HRT!D30/1000</f>
        <v>0.44107230166388955</v>
      </c>
      <c r="M30" s="132">
        <f>'Effluent Concentration'!AO30*HRT!D30/1000</f>
        <v>124.76045104207161</v>
      </c>
      <c r="N30" s="132">
        <f>'Effluent Concentration'!AP30*HRT!D30/1000</f>
        <v>0.63582395804170855</v>
      </c>
      <c r="O30" s="132">
        <f>'Effluent Concentration'!AQ30*HRT!D30/1000</f>
        <v>0.41479029458857297</v>
      </c>
      <c r="P30" s="132">
        <f>'Effluent Concentration'!AR30*HRT!D30/1000</f>
        <v>0.23998271276625735</v>
      </c>
      <c r="Q30" s="132">
        <f>'Effluent Concentration'!AS30*HRT!D30/1000</f>
        <v>0.40996446107240314</v>
      </c>
      <c r="R30" s="132">
        <f>'Effluent Concentration'!AT30*HRT!D30/1000</f>
        <v>0</v>
      </c>
      <c r="S30" s="132">
        <f>Gas!S30</f>
        <v>1.2674978731141417</v>
      </c>
      <c r="T30" s="132">
        <f>Gas!W30</f>
        <v>2.0979275141199592E-2</v>
      </c>
      <c r="U30" s="135">
        <f>Gas!V30</f>
        <v>121.74882527110374</v>
      </c>
      <c r="V30" s="138">
        <f>'Influent Concentration'!Y30*HRT!B30/1000</f>
        <v>377.76482039692377</v>
      </c>
      <c r="W30" s="138">
        <f>'Influent Concentration'!Z30*HRT!B30/1000</f>
        <v>480.27305559489662</v>
      </c>
      <c r="X30" s="138">
        <f>'Influent Concentration'!AA30*HRT!B30/1000</f>
        <v>238.98950495455941</v>
      </c>
      <c r="Y30" s="138">
        <f>'Influent Concentration'!AB30*HRT!B30/1000</f>
        <v>0</v>
      </c>
      <c r="Z30" s="138">
        <f>'Influent Concentration'!AC30*HRT!B30/1000</f>
        <v>15.254408976537039</v>
      </c>
      <c r="AA30" s="139">
        <f>'Effluent Concentration'!AV30*HRT!D30/1000</f>
        <v>0</v>
      </c>
      <c r="AB30" s="139">
        <f>'Effluent Concentration'!AW30*HRT!D30/1000</f>
        <v>0</v>
      </c>
      <c r="AC30" s="139">
        <f>'Effluent Concentration'!AX30*HRT!D30/1000</f>
        <v>383.07498377561296</v>
      </c>
      <c r="AD30" s="139">
        <f>'Effluent Concentration'!AY30*HRT!D30/1000</f>
        <v>6.7074741683019798</v>
      </c>
      <c r="AE30" s="139">
        <f>'Effluent Concentration'!AZ30*HRT!D30/1000</f>
        <v>2.2053615083194478</v>
      </c>
      <c r="AF30" s="139">
        <f>'Effluent Concentration'!BA30*HRT!D30/1000</f>
        <v>623.802255210358</v>
      </c>
      <c r="AG30" s="139">
        <f>'Effluent Concentration'!BB30*HRT!D30/1000</f>
        <v>3.3062845818168842</v>
      </c>
      <c r="AH30" s="139">
        <f>'Effluent Concentration'!BC30*HRT!D30/1000</f>
        <v>2.2122149044723893</v>
      </c>
      <c r="AI30" s="139">
        <f>'Effluent Concentration'!BD30*HRT!D30/1000</f>
        <v>1.079922207448158</v>
      </c>
      <c r="AJ30" s="139">
        <f>'Effluent Concentration'!BE30*HRT!D30/1000</f>
        <v>1.8448400748258142</v>
      </c>
      <c r="AK30" s="139">
        <f>'Effluent Concentration'!BF30*HRT!D30/1000</f>
        <v>0</v>
      </c>
      <c r="AL30" s="139">
        <f>Gas!S30*Constants!$E$17</f>
        <v>2.5349957462282835</v>
      </c>
      <c r="AM30" s="139">
        <f>Gas!W30*Constants!$E$19</f>
        <v>0.16783420112959674</v>
      </c>
    </row>
    <row r="31" spans="1:39">
      <c r="A31" s="58">
        <f>Rawdata!Y33</f>
        <v>57.995833333334303</v>
      </c>
      <c r="B31" s="107">
        <f>'Influent Concentration'!S31*HRT!B31/1000</f>
        <v>84.133836375231112</v>
      </c>
      <c r="C31" s="125">
        <f>'Influent Concentration'!T31*HRT!B31/1000</f>
        <v>106.9639428901738</v>
      </c>
      <c r="D31" s="107">
        <f>'Influent Concentration'!U31*HRT!B31/1000</f>
        <v>59.879826474133324</v>
      </c>
      <c r="E31" s="107">
        <f>'Influent Concentration'!V31*HRT!B31/1000</f>
        <v>0</v>
      </c>
      <c r="F31" s="125">
        <f>'Influent Concentration'!W31*HRT!B31/1000</f>
        <v>3.3776312207029418</v>
      </c>
      <c r="G31" s="125">
        <f>Gas!Y31-Gas!U31</f>
        <v>133.16934005108214</v>
      </c>
      <c r="H31" s="132">
        <f>'Effluent Concentration'!AJ31*HRT!D31/1000</f>
        <v>0.25381155498419777</v>
      </c>
      <c r="I31" s="132">
        <f>'Effluent Concentration'!AK31*HRT!D31/1000</f>
        <v>0</v>
      </c>
      <c r="J31" s="132">
        <f>'Effluent Concentration'!AL31*HRT!D31/1000</f>
        <v>89.974484726957144</v>
      </c>
      <c r="K31" s="132">
        <f>'Effluent Concentration'!AM31*HRT!D31/1000</f>
        <v>1.4285617568310076</v>
      </c>
      <c r="L31" s="132">
        <f>'Effluent Concentration'!AN31*HRT!D31/1000</f>
        <v>0.53081787379466672</v>
      </c>
      <c r="M31" s="132">
        <f>'Effluent Concentration'!AO31*HRT!D31/1000</f>
        <v>141.74636612940637</v>
      </c>
      <c r="N31" s="132">
        <f>'Effluent Concentration'!AP31*HRT!D31/1000</f>
        <v>0.55788316163446683</v>
      </c>
      <c r="O31" s="132">
        <f>'Effluent Concentration'!AQ31*HRT!D31/1000</f>
        <v>1.2232670808621107</v>
      </c>
      <c r="P31" s="132">
        <f>'Effluent Concentration'!AR31*HRT!D31/1000</f>
        <v>0.30648915355943046</v>
      </c>
      <c r="Q31" s="132">
        <f>'Effluent Concentration'!AS31*HRT!D31/1000</f>
        <v>0.45119273683676653</v>
      </c>
      <c r="R31" s="132">
        <f>'Effluent Concentration'!AT31*HRT!D31/1000</f>
        <v>0</v>
      </c>
      <c r="S31" s="132">
        <f>Gas!S31</f>
        <v>5.1389366087576551</v>
      </c>
      <c r="T31" s="132">
        <f>Gas!W31</f>
        <v>1.8163482841298612E-2</v>
      </c>
      <c r="U31" s="135">
        <f>Gas!V31</f>
        <v>141.32175473428549</v>
      </c>
      <c r="V31" s="138">
        <f>'Influent Concentration'!Y31*HRT!B31/1000</f>
        <v>378.60226368854001</v>
      </c>
      <c r="W31" s="138">
        <f>'Influent Concentration'!Z31*HRT!B31/1000</f>
        <v>481.3377430057821</v>
      </c>
      <c r="X31" s="138">
        <f>'Influent Concentration'!AA31*HRT!B31/1000</f>
        <v>239.5193058965333</v>
      </c>
      <c r="Y31" s="138">
        <f>'Influent Concentration'!AB31*HRT!B31/1000</f>
        <v>0</v>
      </c>
      <c r="Z31" s="138">
        <f>'Influent Concentration'!AC31*HRT!B31/1000</f>
        <v>15.288225525287</v>
      </c>
      <c r="AA31" s="139">
        <f>'Effluent Concentration'!AV31*HRT!D31/1000</f>
        <v>1.5228693299051868</v>
      </c>
      <c r="AB31" s="139">
        <f>'Effluent Concentration'!AW31*HRT!D31/1000</f>
        <v>0</v>
      </c>
      <c r="AC31" s="139">
        <f>'Effluent Concentration'!AX31*HRT!D31/1000</f>
        <v>359.89793890782857</v>
      </c>
      <c r="AD31" s="139">
        <f>'Effluent Concentration'!AY31*HRT!D31/1000</f>
        <v>6.6666215318780351</v>
      </c>
      <c r="AE31" s="139">
        <f>'Effluent Concentration'!AZ31*HRT!D31/1000</f>
        <v>2.654089368973334</v>
      </c>
      <c r="AF31" s="139">
        <f>'Effluent Concentration'!BA31*HRT!D31/1000</f>
        <v>708.73183064703187</v>
      </c>
      <c r="AG31" s="139">
        <f>'Effluent Concentration'!BB31*HRT!D31/1000</f>
        <v>2.9009924404992269</v>
      </c>
      <c r="AH31" s="139">
        <f>'Effluent Concentration'!BC31*HRT!D31/1000</f>
        <v>6.5240910979312554</v>
      </c>
      <c r="AI31" s="139">
        <f>'Effluent Concentration'!BD31*HRT!D31/1000</f>
        <v>1.3792011910174369</v>
      </c>
      <c r="AJ31" s="139">
        <f>'Effluent Concentration'!BE31*HRT!D31/1000</f>
        <v>2.0303673157654494</v>
      </c>
      <c r="AK31" s="139">
        <f>'Effluent Concentration'!BF31*HRT!D31/1000</f>
        <v>0</v>
      </c>
      <c r="AL31" s="139">
        <f>Gas!S31*Constants!$E$17</f>
        <v>10.27787321751531</v>
      </c>
      <c r="AM31" s="139">
        <f>Gas!W31*Constants!$E$19</f>
        <v>0.1453078627303889</v>
      </c>
    </row>
    <row r="32" spans="1:39">
      <c r="A32" s="58">
        <f>Rawdata!Y34</f>
        <v>61.00138888888614</v>
      </c>
      <c r="B32" s="107">
        <f>'Influent Concentration'!S32*HRT!B32/1000</f>
        <v>108.77917355005893</v>
      </c>
      <c r="C32" s="125">
        <f>'Influent Concentration'!T32*HRT!B32/1000</f>
        <v>139.60194761592714</v>
      </c>
      <c r="D32" s="107">
        <f>'Influent Concentration'!U32*HRT!B32/1000</f>
        <v>77.23000633662781</v>
      </c>
      <c r="E32" s="107">
        <f>'Influent Concentration'!V32*HRT!B32/1000</f>
        <v>0</v>
      </c>
      <c r="F32" s="125">
        <f>'Influent Concentration'!W32*HRT!B32/1000</f>
        <v>4.1692652992207684</v>
      </c>
      <c r="G32" s="125">
        <f>Gas!Y32-Gas!U32</f>
        <v>144.35998122348678</v>
      </c>
      <c r="H32" s="132">
        <f>'Effluent Concentration'!AJ32*HRT!D32/1000</f>
        <v>0.59534875016581701</v>
      </c>
      <c r="I32" s="132">
        <f>'Effluent Concentration'!AK32*HRT!D32/1000</f>
        <v>0</v>
      </c>
      <c r="J32" s="132">
        <f>'Effluent Concentration'!AL32*HRT!D32/1000</f>
        <v>101.41811989369401</v>
      </c>
      <c r="K32" s="132">
        <f>'Effluent Concentration'!AM32*HRT!D32/1000</f>
        <v>1.9089906295286392</v>
      </c>
      <c r="L32" s="132">
        <f>'Effluent Concentration'!AN32*HRT!D32/1000</f>
        <v>0.66146144845202093</v>
      </c>
      <c r="M32" s="132">
        <f>'Effluent Concentration'!AO32*HRT!D32/1000</f>
        <v>192.01280903635808</v>
      </c>
      <c r="N32" s="132">
        <f>'Effluent Concentration'!AP32*HRT!D32/1000</f>
        <v>0.73730057047927777</v>
      </c>
      <c r="O32" s="132">
        <f>'Effluent Concentration'!AQ32*HRT!D32/1000</f>
        <v>3.1432130710991713</v>
      </c>
      <c r="P32" s="132">
        <f>'Effluent Concentration'!AR32*HRT!D32/1000</f>
        <v>0.36459858367836973</v>
      </c>
      <c r="Q32" s="132">
        <f>'Effluent Concentration'!AS32*HRT!D32/1000</f>
        <v>0.8078270919998003</v>
      </c>
      <c r="R32" s="132">
        <f>'Effluent Concentration'!AT32*HRT!D32/1000</f>
        <v>0</v>
      </c>
      <c r="S32" s="132">
        <f>Gas!S32</f>
        <v>5.6481973396320653</v>
      </c>
      <c r="T32" s="132">
        <f>Gas!W32</f>
        <v>2.9564782949636593E-2</v>
      </c>
      <c r="U32" s="135">
        <f>Gas!V32</f>
        <v>148.78872369933137</v>
      </c>
      <c r="V32" s="138">
        <f>'Influent Concentration'!Y32*HRT!B32/1000</f>
        <v>489.50628097526521</v>
      </c>
      <c r="W32" s="138">
        <f>'Influent Concentration'!Z32*HRT!B32/1000</f>
        <v>628.20876427167207</v>
      </c>
      <c r="X32" s="138">
        <f>'Influent Concentration'!AA32*HRT!B32/1000</f>
        <v>308.92002534651124</v>
      </c>
      <c r="Y32" s="138">
        <f>'Influent Concentration'!AB32*HRT!B32/1000</f>
        <v>0</v>
      </c>
      <c r="Z32" s="138">
        <f>'Influent Concentration'!AC32*HRT!B32/1000</f>
        <v>18.871411354367691</v>
      </c>
      <c r="AA32" s="139">
        <f>'Effluent Concentration'!AV32*HRT!D32/1000</f>
        <v>3.5720925009949025</v>
      </c>
      <c r="AB32" s="139">
        <f>'Effluent Concentration'!AW32*HRT!D32/1000</f>
        <v>0</v>
      </c>
      <c r="AC32" s="139">
        <f>'Effluent Concentration'!AX32*HRT!D32/1000</f>
        <v>405.67247957477605</v>
      </c>
      <c r="AD32" s="139">
        <f>'Effluent Concentration'!AY32*HRT!D32/1000</f>
        <v>8.908622937800315</v>
      </c>
      <c r="AE32" s="139">
        <f>'Effluent Concentration'!AZ32*HRT!D32/1000</f>
        <v>3.3073072422601046</v>
      </c>
      <c r="AF32" s="139">
        <f>'Effluent Concentration'!BA32*HRT!D32/1000</f>
        <v>960.06404518179033</v>
      </c>
      <c r="AG32" s="139">
        <f>'Effluent Concentration'!BB32*HRT!D32/1000</f>
        <v>3.833962966492245</v>
      </c>
      <c r="AH32" s="139">
        <f>'Effluent Concentration'!BC32*HRT!D32/1000</f>
        <v>16.763803045862247</v>
      </c>
      <c r="AI32" s="139">
        <f>'Effluent Concentration'!BD32*HRT!D32/1000</f>
        <v>1.6406936265526637</v>
      </c>
      <c r="AJ32" s="139">
        <f>'Effluent Concentration'!BE32*HRT!D32/1000</f>
        <v>3.6352219139991013</v>
      </c>
      <c r="AK32" s="139">
        <f>'Effluent Concentration'!BF32*HRT!D32/1000</f>
        <v>0</v>
      </c>
      <c r="AL32" s="139">
        <f>Gas!S32*Constants!$E$17</f>
        <v>11.296394679264131</v>
      </c>
      <c r="AM32" s="139">
        <f>Gas!W32*Constants!$E$19</f>
        <v>0.23651826359709274</v>
      </c>
    </row>
    <row r="33" spans="1:39">
      <c r="A33" s="58">
        <f>Rawdata!Y35</f>
        <v>62.996527777781012</v>
      </c>
      <c r="B33" s="107">
        <f>'Influent Concentration'!S33*HRT!B33/1000</f>
        <v>102.60394100981459</v>
      </c>
      <c r="C33" s="125">
        <f>'Influent Concentration'!T33*HRT!B33/1000</f>
        <v>131.67695185189294</v>
      </c>
      <c r="D33" s="107">
        <f>'Influent Concentration'!U33*HRT!B33/1000</f>
        <v>72.84577328310354</v>
      </c>
      <c r="E33" s="107">
        <f>'Influent Concentration'!V33*HRT!B33/1000</f>
        <v>0</v>
      </c>
      <c r="F33" s="125">
        <f>'Influent Concentration'!W33*HRT!B33/1000</f>
        <v>3.9325822844080891</v>
      </c>
      <c r="G33" s="125">
        <f>Gas!Y33-Gas!U33</f>
        <v>144.76184537947438</v>
      </c>
      <c r="H33" s="132">
        <f>'Effluent Concentration'!AJ33*HRT!D33/1000</f>
        <v>0</v>
      </c>
      <c r="I33" s="132">
        <f>'Effluent Concentration'!AK33*HRT!D33/1000</f>
        <v>0</v>
      </c>
      <c r="J33" s="132">
        <f>'Effluent Concentration'!AL33*HRT!D33/1000</f>
        <v>93.048884738111596</v>
      </c>
      <c r="K33" s="132">
        <f>'Effluent Concentration'!AM33*HRT!D33/1000</f>
        <v>1.710995172599469</v>
      </c>
      <c r="L33" s="132">
        <f>'Effluent Concentration'!AN33*HRT!D33/1000</f>
        <v>0.49515261829687607</v>
      </c>
      <c r="M33" s="132">
        <f>'Effluent Concentration'!AO33*HRT!D33/1000</f>
        <v>177.36888000676521</v>
      </c>
      <c r="N33" s="132">
        <f>'Effluent Concentration'!AP33*HRT!D33/1000</f>
        <v>0.78691059482229653</v>
      </c>
      <c r="O33" s="132">
        <f>'Effluent Concentration'!AQ33*HRT!D33/1000</f>
        <v>3.6174719023031798</v>
      </c>
      <c r="P33" s="132">
        <f>'Effluent Concentration'!AR33*HRT!D33/1000</f>
        <v>0.48965946302369673</v>
      </c>
      <c r="Q33" s="132">
        <f>'Effluent Concentration'!AS33*HRT!D33/1000</f>
        <v>0.83217097931901018</v>
      </c>
      <c r="R33" s="132">
        <f>'Effluent Concentration'!AT33*HRT!D33/1000</f>
        <v>0</v>
      </c>
      <c r="S33" s="132">
        <f>Gas!S33</f>
        <v>2.361458234876006</v>
      </c>
      <c r="T33" s="132">
        <f>Gas!W33</f>
        <v>2.539681497885516E-2</v>
      </c>
      <c r="U33" s="135">
        <f>Gas!V33</f>
        <v>143.86371469115917</v>
      </c>
      <c r="V33" s="138">
        <f>'Influent Concentration'!Y33*HRT!B33/1000</f>
        <v>461.71773454416564</v>
      </c>
      <c r="W33" s="138">
        <f>'Influent Concentration'!Z33*HRT!B33/1000</f>
        <v>592.5462833335182</v>
      </c>
      <c r="X33" s="138">
        <f>'Influent Concentration'!AA33*HRT!B33/1000</f>
        <v>291.38309313241416</v>
      </c>
      <c r="Y33" s="138">
        <f>'Influent Concentration'!AB33*HRT!B33/1000</f>
        <v>0</v>
      </c>
      <c r="Z33" s="138">
        <f>'Influent Concentration'!AC33*HRT!B33/1000</f>
        <v>17.800109287320822</v>
      </c>
      <c r="AA33" s="139">
        <f>'Effluent Concentration'!AV33*HRT!D33/1000</f>
        <v>0</v>
      </c>
      <c r="AB33" s="139">
        <f>'Effluent Concentration'!AW33*HRT!D33/1000</f>
        <v>0</v>
      </c>
      <c r="AC33" s="139">
        <f>'Effluent Concentration'!AX33*HRT!D33/1000</f>
        <v>372.19553895244638</v>
      </c>
      <c r="AD33" s="139">
        <f>'Effluent Concentration'!AY33*HRT!D33/1000</f>
        <v>7.9846441387975222</v>
      </c>
      <c r="AE33" s="139">
        <f>'Effluent Concentration'!AZ33*HRT!D33/1000</f>
        <v>2.4757630914843807</v>
      </c>
      <c r="AF33" s="139">
        <f>'Effluent Concentration'!BA33*HRT!D33/1000</f>
        <v>886.84440003382599</v>
      </c>
      <c r="AG33" s="139">
        <f>'Effluent Concentration'!BB33*HRT!D33/1000</f>
        <v>4.0919350930759419</v>
      </c>
      <c r="AH33" s="139">
        <f>'Effluent Concentration'!BC33*HRT!D33/1000</f>
        <v>19.29318347895029</v>
      </c>
      <c r="AI33" s="139">
        <f>'Effluent Concentration'!BD33*HRT!D33/1000</f>
        <v>2.2034675836066353</v>
      </c>
      <c r="AJ33" s="139">
        <f>'Effluent Concentration'!BE33*HRT!D33/1000</f>
        <v>3.7447694069355451</v>
      </c>
      <c r="AK33" s="139">
        <f>'Effluent Concentration'!BF33*HRT!D33/1000</f>
        <v>0</v>
      </c>
      <c r="AL33" s="139">
        <f>Gas!S33*Constants!$E$17</f>
        <v>4.7229164697520121</v>
      </c>
      <c r="AM33" s="139">
        <f>Gas!W33*Constants!$E$19</f>
        <v>0.20317451983084128</v>
      </c>
    </row>
    <row r="34" spans="1:39">
      <c r="A34" s="58">
        <f>Rawdata!Y36</f>
        <v>65.071527777778101</v>
      </c>
      <c r="B34" s="107">
        <f>'Influent Concentration'!S34*HRT!B34/1000</f>
        <v>97.932151238116674</v>
      </c>
      <c r="C34" s="125">
        <f>'Influent Concentration'!T34*HRT!B34/1000</f>
        <v>125.68140206330158</v>
      </c>
      <c r="D34" s="107">
        <f>'Influent Concentration'!U34*HRT!B34/1000</f>
        <v>69.528940272733351</v>
      </c>
      <c r="E34" s="107">
        <f>'Influent Concentration'!V34*HRT!B34/1000</f>
        <v>0</v>
      </c>
      <c r="F34" s="125">
        <f>'Influent Concentration'!W34*HRT!B34/1000</f>
        <v>3.7535229080153165</v>
      </c>
      <c r="G34" s="125">
        <f>Gas!Y34-Gas!U34</f>
        <v>145.37512209738816</v>
      </c>
      <c r="H34" s="132">
        <f>'Effluent Concentration'!AJ34*HRT!D34/1000</f>
        <v>0</v>
      </c>
      <c r="I34" s="132">
        <f>'Effluent Concentration'!AK34*HRT!D34/1000</f>
        <v>0</v>
      </c>
      <c r="J34" s="132">
        <f>'Effluent Concentration'!AL34*HRT!D34/1000</f>
        <v>94.27427039744569</v>
      </c>
      <c r="K34" s="132">
        <f>'Effluent Concentration'!AM34*HRT!D34/1000</f>
        <v>1.9803971912431211</v>
      </c>
      <c r="L34" s="132">
        <f>'Effluent Concentration'!AN34*HRT!D34/1000</f>
        <v>0.5235540947428784</v>
      </c>
      <c r="M34" s="132">
        <f>'Effluent Concentration'!AO34*HRT!D34/1000</f>
        <v>176.92604480517753</v>
      </c>
      <c r="N34" s="132">
        <f>'Effluent Concentration'!AP34*HRT!D34/1000</f>
        <v>0.82518949685930576</v>
      </c>
      <c r="O34" s="132">
        <f>'Effluent Concentration'!AQ34*HRT!D34/1000</f>
        <v>3.7803500290478875</v>
      </c>
      <c r="P34" s="132">
        <f>'Effluent Concentration'!AR34*HRT!D34/1000</f>
        <v>0.5304607699410836</v>
      </c>
      <c r="Q34" s="132">
        <f>'Effluent Concentration'!AS34*HRT!D34/1000</f>
        <v>0.41218359398299648</v>
      </c>
      <c r="R34" s="132">
        <f>'Effluent Concentration'!AT34*HRT!D34/1000</f>
        <v>0</v>
      </c>
      <c r="S34" s="132">
        <f>Gas!S34</f>
        <v>2.748452641543675</v>
      </c>
      <c r="T34" s="132">
        <f>Gas!W34</f>
        <v>4.9562260749148246E-3</v>
      </c>
      <c r="U34" s="135">
        <f>Gas!V34</f>
        <v>138.93969897675558</v>
      </c>
      <c r="V34" s="138">
        <f>'Influent Concentration'!Y34*HRT!B34/1000</f>
        <v>440.694680571525</v>
      </c>
      <c r="W34" s="138">
        <f>'Influent Concentration'!Z34*HRT!B34/1000</f>
        <v>565.56630928485708</v>
      </c>
      <c r="X34" s="138">
        <f>'Influent Concentration'!AA34*HRT!B34/1000</f>
        <v>278.1157610909334</v>
      </c>
      <c r="Y34" s="138">
        <f>'Influent Concentration'!AB34*HRT!B34/1000</f>
        <v>0</v>
      </c>
      <c r="Z34" s="138">
        <f>'Influent Concentration'!AC34*HRT!B34/1000</f>
        <v>16.989630004700906</v>
      </c>
      <c r="AA34" s="139">
        <f>'Effluent Concentration'!AV34*HRT!D34/1000</f>
        <v>0</v>
      </c>
      <c r="AB34" s="139">
        <f>'Effluent Concentration'!AW34*HRT!D34/1000</f>
        <v>0</v>
      </c>
      <c r="AC34" s="139">
        <f>'Effluent Concentration'!AX34*HRT!D34/1000</f>
        <v>377.09708158978276</v>
      </c>
      <c r="AD34" s="139">
        <f>'Effluent Concentration'!AY34*HRT!D34/1000</f>
        <v>9.241853559134567</v>
      </c>
      <c r="AE34" s="139">
        <f>'Effluent Concentration'!AZ34*HRT!D34/1000</f>
        <v>2.6177704737143923</v>
      </c>
      <c r="AF34" s="139">
        <f>'Effluent Concentration'!BA34*HRT!D34/1000</f>
        <v>884.63022402588763</v>
      </c>
      <c r="AG34" s="139">
        <f>'Effluent Concentration'!BB34*HRT!D34/1000</f>
        <v>4.2909853836683904</v>
      </c>
      <c r="AH34" s="139">
        <f>'Effluent Concentration'!BC34*HRT!D34/1000</f>
        <v>20.161866821588735</v>
      </c>
      <c r="AI34" s="139">
        <f>'Effluent Concentration'!BD34*HRT!D34/1000</f>
        <v>2.3870734647348764</v>
      </c>
      <c r="AJ34" s="139">
        <f>'Effluent Concentration'!BE34*HRT!D34/1000</f>
        <v>1.8548261729234838</v>
      </c>
      <c r="AK34" s="139">
        <f>'Effluent Concentration'!BF34*HRT!D34/1000</f>
        <v>0</v>
      </c>
      <c r="AL34" s="139">
        <f>Gas!S34*Constants!$E$17</f>
        <v>5.4969052830873499</v>
      </c>
      <c r="AM34" s="139">
        <f>Gas!W34*Constants!$E$19</f>
        <v>3.9649808599318596E-2</v>
      </c>
    </row>
    <row r="35" spans="1:39">
      <c r="A35" s="58">
        <f>Rawdata!Y37</f>
        <v>67.984722222223354</v>
      </c>
      <c r="B35" s="107">
        <f>'Influent Concentration'!S35*HRT!B35/1000</f>
        <v>94.7319780184623</v>
      </c>
      <c r="C35" s="125">
        <f>'Influent Concentration'!T35*HRT!B35/1000</f>
        <v>111.64355713554974</v>
      </c>
      <c r="D35" s="107">
        <f>'Influent Concentration'!U35*HRT!B35/1000</f>
        <v>65.366794623539874</v>
      </c>
      <c r="E35" s="107">
        <f>'Influent Concentration'!V35*HRT!B35/1000</f>
        <v>0</v>
      </c>
      <c r="F35" s="125">
        <f>'Influent Concentration'!W35*HRT!B35/1000</f>
        <v>3.4552821173912216</v>
      </c>
      <c r="G35" s="125">
        <f>Gas!Y35-Gas!U35</f>
        <v>141.68021843456131</v>
      </c>
      <c r="H35" s="132">
        <f>'Effluent Concentration'!AJ35*HRT!D35/1000</f>
        <v>0</v>
      </c>
      <c r="I35" s="132">
        <f>'Effluent Concentration'!AK35*HRT!D35/1000</f>
        <v>0</v>
      </c>
      <c r="J35" s="132">
        <f>'Effluent Concentration'!AL35*HRT!D35/1000</f>
        <v>89.006499099552641</v>
      </c>
      <c r="K35" s="132">
        <f>'Effluent Concentration'!AM35*HRT!D35/1000</f>
        <v>1.8514339912528996</v>
      </c>
      <c r="L35" s="132">
        <f>'Effluent Concentration'!AN35*HRT!D35/1000</f>
        <v>0.51771938138222329</v>
      </c>
      <c r="M35" s="132">
        <f>'Effluent Concentration'!AO35*HRT!D35/1000</f>
        <v>163.19254500283938</v>
      </c>
      <c r="N35" s="132">
        <f>'Effluent Concentration'!AP35*HRT!D35/1000</f>
        <v>0.73776831334658599</v>
      </c>
      <c r="O35" s="132">
        <f>'Effluent Concentration'!AQ35*HRT!D35/1000</f>
        <v>3.692099274426579</v>
      </c>
      <c r="P35" s="132">
        <f>'Effluent Concentration'!AR35*HRT!D35/1000</f>
        <v>0.56728343451688101</v>
      </c>
      <c r="Q35" s="132">
        <f>'Effluent Concentration'!AS35*HRT!D35/1000</f>
        <v>0.27676091668756947</v>
      </c>
      <c r="R35" s="132">
        <f>'Effluent Concentration'!AT35*HRT!D35/1000</f>
        <v>0</v>
      </c>
      <c r="S35" s="132">
        <f>Gas!S35</f>
        <v>3.3238760923064188</v>
      </c>
      <c r="T35" s="132">
        <f>Gas!W35</f>
        <v>3.5547008209388088E-2</v>
      </c>
      <c r="U35" s="135">
        <f>Gas!V35</f>
        <v>136.49142029025768</v>
      </c>
      <c r="V35" s="138">
        <f>'Influent Concentration'!Y35*HRT!B35/1000</f>
        <v>426.29390108308036</v>
      </c>
      <c r="W35" s="138">
        <f>'Influent Concentration'!Z35*HRT!B35/1000</f>
        <v>502.39600710997377</v>
      </c>
      <c r="X35" s="138">
        <f>'Influent Concentration'!AA35*HRT!B35/1000</f>
        <v>261.4671784941595</v>
      </c>
      <c r="Y35" s="138">
        <f>'Influent Concentration'!AB35*HRT!B35/1000</f>
        <v>0</v>
      </c>
      <c r="Z35" s="138">
        <f>'Influent Concentration'!AC35*HRT!B35/1000</f>
        <v>15.639698005033949</v>
      </c>
      <c r="AA35" s="139">
        <f>'Effluent Concentration'!AV35*HRT!D35/1000</f>
        <v>0</v>
      </c>
      <c r="AB35" s="139">
        <f>'Effluent Concentration'!AW35*HRT!D35/1000</f>
        <v>0</v>
      </c>
      <c r="AC35" s="139">
        <f>'Effluent Concentration'!AX35*HRT!D35/1000</f>
        <v>356.02599639821057</v>
      </c>
      <c r="AD35" s="139">
        <f>'Effluent Concentration'!AY35*HRT!D35/1000</f>
        <v>8.6400252925135312</v>
      </c>
      <c r="AE35" s="139">
        <f>'Effluent Concentration'!AZ35*HRT!D35/1000</f>
        <v>2.5885969069111168</v>
      </c>
      <c r="AF35" s="139">
        <f>'Effluent Concentration'!BA35*HRT!D35/1000</f>
        <v>815.96272501419696</v>
      </c>
      <c r="AG35" s="139">
        <f>'Effluent Concentration'!BB35*HRT!D35/1000</f>
        <v>3.8363952294022465</v>
      </c>
      <c r="AH35" s="139">
        <f>'Effluent Concentration'!BC35*HRT!D35/1000</f>
        <v>19.691196130275085</v>
      </c>
      <c r="AI35" s="139">
        <f>'Effluent Concentration'!BD35*HRT!D35/1000</f>
        <v>2.5527754553259645</v>
      </c>
      <c r="AJ35" s="139">
        <f>'Effluent Concentration'!BE35*HRT!D35/1000</f>
        <v>1.2454241250940628</v>
      </c>
      <c r="AK35" s="139">
        <f>'Effluent Concentration'!BF35*HRT!D35/1000</f>
        <v>0</v>
      </c>
      <c r="AL35" s="139">
        <f>Gas!S35*Constants!$E$17</f>
        <v>6.6477521846128376</v>
      </c>
      <c r="AM35" s="139">
        <f>Gas!W35*Constants!$E$19</f>
        <v>0.28437606567510471</v>
      </c>
    </row>
    <row r="36" spans="1:39">
      <c r="A36" s="58">
        <f>Rawdata!Y38</f>
        <v>70.167361111110949</v>
      </c>
      <c r="B36" s="107">
        <f>'Influent Concentration'!S36*HRT!B36/1000</f>
        <v>115.77347605405203</v>
      </c>
      <c r="C36" s="125">
        <f>'Influent Concentration'!T36*HRT!B36/1000</f>
        <v>136.44138926459169</v>
      </c>
      <c r="D36" s="107">
        <f>'Influent Concentration'!U36*HRT!B36/1000</f>
        <v>79.885812482493023</v>
      </c>
      <c r="E36" s="107">
        <f>'Influent Concentration'!V36*HRT!B36/1000</f>
        <v>0</v>
      </c>
      <c r="F36" s="125">
        <f>'Influent Concentration'!W36*HRT!B36/1000</f>
        <v>4.2227559251409801</v>
      </c>
      <c r="G36" s="125">
        <f>Gas!Y36-Gas!U36</f>
        <v>136.12966169101742</v>
      </c>
      <c r="H36" s="132">
        <f>'Effluent Concentration'!AJ36*HRT!D36/1000</f>
        <v>0</v>
      </c>
      <c r="I36" s="132">
        <f>'Effluent Concentration'!AK36*HRT!D36/1000</f>
        <v>0</v>
      </c>
      <c r="J36" s="132">
        <f>'Effluent Concentration'!AL36*HRT!D36/1000</f>
        <v>109.08478258365936</v>
      </c>
      <c r="K36" s="132">
        <f>'Effluent Concentration'!AM36*HRT!D36/1000</f>
        <v>2.7015560196668047</v>
      </c>
      <c r="L36" s="132">
        <f>'Effluent Concentration'!AN36*HRT!D36/1000</f>
        <v>0.64856280934722477</v>
      </c>
      <c r="M36" s="132">
        <f>'Effluent Concentration'!AO36*HRT!D36/1000</f>
        <v>203.29906218564136</v>
      </c>
      <c r="N36" s="132">
        <f>'Effluent Concentration'!AP36*HRT!D36/1000</f>
        <v>1.0278335458258325</v>
      </c>
      <c r="O36" s="132">
        <f>'Effluent Concentration'!AQ36*HRT!D36/1000</f>
        <v>3.7537895753207668</v>
      </c>
      <c r="P36" s="132">
        <f>'Effluent Concentration'!AR36*HRT!D36/1000</f>
        <v>0.51073271460549441</v>
      </c>
      <c r="Q36" s="132">
        <f>'Effluent Concentration'!AS36*HRT!D36/1000</f>
        <v>0.51659444234565077</v>
      </c>
      <c r="R36" s="132">
        <f>'Effluent Concentration'!AT36*HRT!D36/1000</f>
        <v>0</v>
      </c>
      <c r="S36" s="132">
        <f>Gas!S36</f>
        <v>2.3010422868664167</v>
      </c>
      <c r="T36" s="132">
        <f>Gas!W36</f>
        <v>3.6816676589862672E-2</v>
      </c>
      <c r="U36" s="135">
        <f>Gas!V36</f>
        <v>139.09959165396864</v>
      </c>
      <c r="V36" s="138">
        <f>'Influent Concentration'!Y36*HRT!B36/1000</f>
        <v>520.98064224323412</v>
      </c>
      <c r="W36" s="138">
        <f>'Influent Concentration'!Z36*HRT!B36/1000</f>
        <v>613.98625169066247</v>
      </c>
      <c r="X36" s="138">
        <f>'Influent Concentration'!AA36*HRT!B36/1000</f>
        <v>319.54324992997209</v>
      </c>
      <c r="Y36" s="138">
        <f>'Influent Concentration'!AB36*HRT!B36/1000</f>
        <v>0</v>
      </c>
      <c r="Z36" s="138">
        <f>'Influent Concentration'!AC36*HRT!B36/1000</f>
        <v>19.113526819059174</v>
      </c>
      <c r="AA36" s="139">
        <f>'Effluent Concentration'!AV36*HRT!D36/1000</f>
        <v>0</v>
      </c>
      <c r="AB36" s="139">
        <f>'Effluent Concentration'!AW36*HRT!D36/1000</f>
        <v>0</v>
      </c>
      <c r="AC36" s="139">
        <f>'Effluent Concentration'!AX36*HRT!D36/1000</f>
        <v>436.33913033463745</v>
      </c>
      <c r="AD36" s="139">
        <f>'Effluent Concentration'!AY36*HRT!D36/1000</f>
        <v>12.607261425111757</v>
      </c>
      <c r="AE36" s="139">
        <f>'Effluent Concentration'!AZ36*HRT!D36/1000</f>
        <v>3.2428140467361235</v>
      </c>
      <c r="AF36" s="139">
        <f>'Effluent Concentration'!BA36*HRT!D36/1000</f>
        <v>1016.4953109282068</v>
      </c>
      <c r="AG36" s="139">
        <f>'Effluent Concentration'!BB36*HRT!D36/1000</f>
        <v>5.3447344382943296</v>
      </c>
      <c r="AH36" s="139">
        <f>'Effluent Concentration'!BC36*HRT!D36/1000</f>
        <v>20.020211068377424</v>
      </c>
      <c r="AI36" s="139">
        <f>'Effluent Concentration'!BD36*HRT!D36/1000</f>
        <v>2.298297215724725</v>
      </c>
      <c r="AJ36" s="139">
        <f>'Effluent Concentration'!BE36*HRT!D36/1000</f>
        <v>2.3246749905554287</v>
      </c>
      <c r="AK36" s="139">
        <f>'Effluent Concentration'!BF36*HRT!D36/1000</f>
        <v>0</v>
      </c>
      <c r="AL36" s="139">
        <f>Gas!S36*Constants!$E$17</f>
        <v>4.6020845737328333</v>
      </c>
      <c r="AM36" s="139">
        <f>Gas!W36*Constants!$E$19</f>
        <v>0.29453341271890138</v>
      </c>
    </row>
    <row r="37" spans="1:39">
      <c r="A37" s="58">
        <f>Rawdata!Y39</f>
        <v>72.156944444446708</v>
      </c>
      <c r="B37" s="107">
        <f>'Influent Concentration'!S37*HRT!B37/1000</f>
        <v>108.58664849711494</v>
      </c>
      <c r="C37" s="125">
        <f>'Influent Concentration'!T37*HRT!B37/1000</f>
        <v>127.97156724926462</v>
      </c>
      <c r="D37" s="107">
        <f>'Influent Concentration'!U37*HRT!B37/1000</f>
        <v>74.926770237882153</v>
      </c>
      <c r="E37" s="107">
        <f>'Influent Concentration'!V37*HRT!B37/1000</f>
        <v>0</v>
      </c>
      <c r="F37" s="125">
        <f>'Influent Concentration'!W37*HRT!B37/1000</f>
        <v>3.9606214563196964</v>
      </c>
      <c r="G37" s="125">
        <f>Gas!Y37-Gas!U37</f>
        <v>132.66593976411809</v>
      </c>
      <c r="H37" s="132">
        <f>'Effluent Concentration'!AJ37*HRT!D37/1000</f>
        <v>0</v>
      </c>
      <c r="I37" s="132">
        <f>'Effluent Concentration'!AK37*HRT!D37/1000</f>
        <v>0</v>
      </c>
      <c r="J37" s="132">
        <f>'Effluent Concentration'!AL37*HRT!D37/1000</f>
        <v>102.3586888137887</v>
      </c>
      <c r="K37" s="132">
        <f>'Effluent Concentration'!AM37*HRT!D37/1000</f>
        <v>1.9941492927303146</v>
      </c>
      <c r="L37" s="132">
        <f>'Effluent Concentration'!AN37*HRT!D37/1000</f>
        <v>0.6303861869148536</v>
      </c>
      <c r="M37" s="132">
        <f>'Effluent Concentration'!AO37*HRT!D37/1000</f>
        <v>192.10356875865756</v>
      </c>
      <c r="N37" s="132">
        <f>'Effluent Concentration'!AP37*HRT!D37/1000</f>
        <v>1.0339991556075407</v>
      </c>
      <c r="O37" s="132">
        <f>'Effluent Concentration'!AQ37*HRT!D37/1000</f>
        <v>4.5807139890456252</v>
      </c>
      <c r="P37" s="132">
        <f>'Effluent Concentration'!AR37*HRT!D37/1000</f>
        <v>0.60527006298932151</v>
      </c>
      <c r="Q37" s="132">
        <f>'Effluent Concentration'!AS37*HRT!D37/1000</f>
        <v>0.37951614882556389</v>
      </c>
      <c r="R37" s="132">
        <f>'Effluent Concentration'!AT37*HRT!D37/1000</f>
        <v>0</v>
      </c>
      <c r="S37" s="132">
        <f>Gas!S37</f>
        <v>2.1116377955534378</v>
      </c>
      <c r="T37" s="132">
        <f>Gas!W37</f>
        <v>5.5086203362263598E-3</v>
      </c>
      <c r="U37" s="135">
        <f>Gas!V37</f>
        <v>139.01018705387213</v>
      </c>
      <c r="V37" s="138">
        <f>'Influent Concentration'!Y37*HRT!B37/1000</f>
        <v>488.63991823701724</v>
      </c>
      <c r="W37" s="138">
        <f>'Influent Concentration'!Z37*HRT!B37/1000</f>
        <v>575.87205262169084</v>
      </c>
      <c r="X37" s="138">
        <f>'Influent Concentration'!AA37*HRT!B37/1000</f>
        <v>299.70708095152861</v>
      </c>
      <c r="Y37" s="138">
        <f>'Influent Concentration'!AB37*HRT!B37/1000</f>
        <v>0</v>
      </c>
      <c r="Z37" s="138">
        <f>'Influent Concentration'!AC37*HRT!B37/1000</f>
        <v>17.927023433868097</v>
      </c>
      <c r="AA37" s="139">
        <f>'Effluent Concentration'!AV37*HRT!D37/1000</f>
        <v>0</v>
      </c>
      <c r="AB37" s="139">
        <f>'Effluent Concentration'!AW37*HRT!D37/1000</f>
        <v>0</v>
      </c>
      <c r="AC37" s="139">
        <f>'Effluent Concentration'!AX37*HRT!D37/1000</f>
        <v>409.43475525515481</v>
      </c>
      <c r="AD37" s="139">
        <f>'Effluent Concentration'!AY37*HRT!D37/1000</f>
        <v>9.306030032741468</v>
      </c>
      <c r="AE37" s="139">
        <f>'Effluent Concentration'!AZ37*HRT!D37/1000</f>
        <v>3.1519309345742679</v>
      </c>
      <c r="AF37" s="139">
        <f>'Effluent Concentration'!BA37*HRT!D37/1000</f>
        <v>960.51784379328774</v>
      </c>
      <c r="AG37" s="139">
        <f>'Effluent Concentration'!BB37*HRT!D37/1000</f>
        <v>5.3767956091592133</v>
      </c>
      <c r="AH37" s="139">
        <f>'Effluent Concentration'!BC37*HRT!D37/1000</f>
        <v>24.430474608243333</v>
      </c>
      <c r="AI37" s="139">
        <f>'Effluent Concentration'!BD37*HRT!D37/1000</f>
        <v>2.7237152834519467</v>
      </c>
      <c r="AJ37" s="139">
        <f>'Effluent Concentration'!BE37*HRT!D37/1000</f>
        <v>1.7078226697150376</v>
      </c>
      <c r="AK37" s="139">
        <f>'Effluent Concentration'!BF37*HRT!D37/1000</f>
        <v>0</v>
      </c>
      <c r="AL37" s="139">
        <f>Gas!S37*Constants!$E$17</f>
        <v>4.2232755911068756</v>
      </c>
      <c r="AM37" s="139">
        <f>Gas!W37*Constants!$E$19</f>
        <v>4.4068962689810878E-2</v>
      </c>
    </row>
    <row r="38" spans="1:39">
      <c r="A38" s="58">
        <f>Rawdata!Y40</f>
        <v>75.146527777775191</v>
      </c>
      <c r="B38" s="107">
        <f>'Influent Concentration'!S38*HRT!B38/1000</f>
        <v>202.92674470068835</v>
      </c>
      <c r="C38" s="125">
        <f>'Influent Concentration'!T38*HRT!B38/1000</f>
        <v>18.911980922677472</v>
      </c>
      <c r="D38" s="107">
        <f>'Influent Concentration'!U38*HRT!B38/1000</f>
        <v>97.873337533655942</v>
      </c>
      <c r="E38" s="107">
        <f>'Influent Concentration'!V38*HRT!B38/1000</f>
        <v>0</v>
      </c>
      <c r="F38" s="125">
        <f>'Influent Concentration'!W38*HRT!B38/1000</f>
        <v>3.5822238188048336</v>
      </c>
      <c r="G38" s="125">
        <f>Gas!Y38-Gas!U38</f>
        <v>134.32226693891312</v>
      </c>
      <c r="H38" s="132">
        <f>'Effluent Concentration'!AJ38*HRT!D38/1000</f>
        <v>0</v>
      </c>
      <c r="I38" s="132">
        <f>'Effluent Concentration'!AK38*HRT!D38/1000</f>
        <v>0</v>
      </c>
      <c r="J38" s="132">
        <f>'Effluent Concentration'!AL38*HRT!D38/1000</f>
        <v>95.352233050951455</v>
      </c>
      <c r="K38" s="132">
        <f>'Effluent Concentration'!AM38*HRT!D38/1000</f>
        <v>1.9163674723025486</v>
      </c>
      <c r="L38" s="132">
        <f>'Effluent Concentration'!AN38*HRT!D38/1000</f>
        <v>0.53707298584410679</v>
      </c>
      <c r="M38" s="132">
        <f>'Effluent Concentration'!AO38*HRT!D38/1000</f>
        <v>170.60698830680028</v>
      </c>
      <c r="N38" s="132">
        <f>'Effluent Concentration'!AP38*HRT!D38/1000</f>
        <v>0.99805500551050363</v>
      </c>
      <c r="O38" s="132">
        <f>'Effluent Concentration'!AQ38*HRT!D38/1000</f>
        <v>4.8231126738590531</v>
      </c>
      <c r="P38" s="132">
        <f>'Effluent Concentration'!AR38*HRT!D38/1000</f>
        <v>0.42614783207069801</v>
      </c>
      <c r="Q38" s="132">
        <f>'Effluent Concentration'!AS38*HRT!D38/1000</f>
        <v>0.13005697637254543</v>
      </c>
      <c r="R38" s="132">
        <f>'Effluent Concentration'!AT38*HRT!D38/1000</f>
        <v>0</v>
      </c>
      <c r="S38" s="132">
        <f>Gas!S38</f>
        <v>3.1292868400876332</v>
      </c>
      <c r="T38" s="132">
        <f>Gas!W38</f>
        <v>5.215478066812722E-3</v>
      </c>
      <c r="U38" s="135">
        <f>Gas!V38</f>
        <v>143.85426101360585</v>
      </c>
      <c r="V38" s="138">
        <f>'Influent Concentration'!Y38*HRT!B38/1000</f>
        <v>913.17035115309761</v>
      </c>
      <c r="W38" s="138">
        <f>'Influent Concentration'!Z38*HRT!B38/1000</f>
        <v>85.103914152048617</v>
      </c>
      <c r="X38" s="138">
        <f>'Influent Concentration'!AA38*HRT!B38/1000</f>
        <v>391.49335013462377</v>
      </c>
      <c r="Y38" s="138">
        <f>'Influent Concentration'!AB38*HRT!B38/1000</f>
        <v>0</v>
      </c>
      <c r="Z38" s="138">
        <f>'Influent Concentration'!AC38*HRT!B38/1000</f>
        <v>16.214276232485034</v>
      </c>
      <c r="AA38" s="139">
        <f>'Effluent Concentration'!AV38*HRT!D38/1000</f>
        <v>0</v>
      </c>
      <c r="AB38" s="139">
        <f>'Effluent Concentration'!AW38*HRT!D38/1000</f>
        <v>0</v>
      </c>
      <c r="AC38" s="139">
        <f>'Effluent Concentration'!AX38*HRT!D38/1000</f>
        <v>381.40893220380582</v>
      </c>
      <c r="AD38" s="139">
        <f>'Effluent Concentration'!AY38*HRT!D38/1000</f>
        <v>8.9430482040785595</v>
      </c>
      <c r="AE38" s="139">
        <f>'Effluent Concentration'!AZ38*HRT!D38/1000</f>
        <v>2.6853649292205342</v>
      </c>
      <c r="AF38" s="139">
        <f>'Effluent Concentration'!BA38*HRT!D38/1000</f>
        <v>853.0349415340014</v>
      </c>
      <c r="AG38" s="139">
        <f>'Effluent Concentration'!BB38*HRT!D38/1000</f>
        <v>5.1898860286546196</v>
      </c>
      <c r="AH38" s="139">
        <f>'Effluent Concentration'!BC38*HRT!D38/1000</f>
        <v>25.723267593914947</v>
      </c>
      <c r="AI38" s="139">
        <f>'Effluent Concentration'!BD38*HRT!D38/1000</f>
        <v>1.917665244318141</v>
      </c>
      <c r="AJ38" s="139">
        <f>'Effluent Concentration'!BE38*HRT!D38/1000</f>
        <v>0.58525639367645443</v>
      </c>
      <c r="AK38" s="139">
        <f>'Effluent Concentration'!BF38*HRT!D38/1000</f>
        <v>0</v>
      </c>
      <c r="AL38" s="139">
        <f>Gas!S38*Constants!$E$17</f>
        <v>6.2585736801752665</v>
      </c>
      <c r="AM38" s="139">
        <f>Gas!W38*Constants!$E$19</f>
        <v>4.1723824534501776E-2</v>
      </c>
    </row>
    <row r="39" spans="1:39">
      <c r="A39" s="58">
        <f>Rawdata!Y41</f>
        <v>77.093055555553292</v>
      </c>
      <c r="B39" s="107">
        <f>'Influent Concentration'!S39*HRT!B39/1000</f>
        <v>214.99346393147539</v>
      </c>
      <c r="C39" s="125">
        <f>'Influent Concentration'!T39*HRT!B39/1000</f>
        <v>20.036552078778886</v>
      </c>
      <c r="D39" s="107">
        <f>'Influent Concentration'!U39*HRT!B39/1000</f>
        <v>103.69322138356756</v>
      </c>
      <c r="E39" s="107">
        <f>'Influent Concentration'!V39*HRT!B39/1000</f>
        <v>0</v>
      </c>
      <c r="F39" s="125">
        <f>'Influent Concentration'!W39*HRT!B39/1000</f>
        <v>3.7952351156011845</v>
      </c>
      <c r="G39" s="125">
        <f>Gas!Y39-Gas!U39</f>
        <v>137.06992110150577</v>
      </c>
      <c r="H39" s="132">
        <f>'Effluent Concentration'!AJ39*HRT!D39/1000</f>
        <v>0</v>
      </c>
      <c r="I39" s="132">
        <f>'Effluent Concentration'!AK39*HRT!D39/1000</f>
        <v>0</v>
      </c>
      <c r="J39" s="132">
        <f>'Effluent Concentration'!AL39*HRT!D39/1000</f>
        <v>88.172370206311811</v>
      </c>
      <c r="K39" s="132">
        <f>'Effluent Concentration'!AM39*HRT!D39/1000</f>
        <v>1.8829930416388745</v>
      </c>
      <c r="L39" s="132">
        <f>'Effluent Concentration'!AN39*HRT!D39/1000</f>
        <v>0</v>
      </c>
      <c r="M39" s="132">
        <f>'Effluent Concentration'!AO39*HRT!D39/1000</f>
        <v>185.19206751558241</v>
      </c>
      <c r="N39" s="132">
        <f>'Effluent Concentration'!AP39*HRT!D39/1000</f>
        <v>1.1813450622935699</v>
      </c>
      <c r="O39" s="132">
        <f>'Effluent Concentration'!AQ39*HRT!D39/1000</f>
        <v>5.3782679910270188</v>
      </c>
      <c r="P39" s="132">
        <f>'Effluent Concentration'!AR39*HRT!D39/1000</f>
        <v>0.76415890430341038</v>
      </c>
      <c r="Q39" s="132">
        <f>'Effluent Concentration'!AS39*HRT!D39/1000</f>
        <v>8.7030642164527605E-2</v>
      </c>
      <c r="R39" s="132">
        <f>'Effluent Concentration'!AT39*HRT!D39/1000</f>
        <v>0.59813121084341758</v>
      </c>
      <c r="S39" s="132">
        <f>Gas!S39</f>
        <v>4.3259655950475127</v>
      </c>
      <c r="T39" s="132">
        <f>Gas!W39</f>
        <v>4.8606355000533853E-3</v>
      </c>
      <c r="U39" s="135">
        <f>Gas!V39</f>
        <v>151.02484571988899</v>
      </c>
      <c r="V39" s="138">
        <f>'Influent Concentration'!Y39*HRT!B39/1000</f>
        <v>967.47058769163925</v>
      </c>
      <c r="W39" s="138">
        <f>'Influent Concentration'!Z39*HRT!B39/1000</f>
        <v>90.164484354504978</v>
      </c>
      <c r="X39" s="138">
        <f>'Influent Concentration'!AA39*HRT!B39/1000</f>
        <v>414.77288553427024</v>
      </c>
      <c r="Y39" s="138">
        <f>'Influent Concentration'!AB39*HRT!B39/1000</f>
        <v>0</v>
      </c>
      <c r="Z39" s="138">
        <f>'Influent Concentration'!AC39*HRT!B39/1000</f>
        <v>17.17843262851062</v>
      </c>
      <c r="AA39" s="139">
        <f>'Effluent Concentration'!AV39*HRT!D39/1000</f>
        <v>0</v>
      </c>
      <c r="AB39" s="139">
        <f>'Effluent Concentration'!AW39*HRT!D39/1000</f>
        <v>0</v>
      </c>
      <c r="AC39" s="139">
        <f>'Effluent Concentration'!AX39*HRT!D39/1000</f>
        <v>352.68948082524724</v>
      </c>
      <c r="AD39" s="139">
        <f>'Effluent Concentration'!AY39*HRT!D39/1000</f>
        <v>8.7873008609814143</v>
      </c>
      <c r="AE39" s="139">
        <f>'Effluent Concentration'!AZ39*HRT!D39/1000</f>
        <v>0</v>
      </c>
      <c r="AF39" s="139">
        <f>'Effluent Concentration'!BA39*HRT!D39/1000</f>
        <v>925.9603375779119</v>
      </c>
      <c r="AG39" s="139">
        <f>'Effluent Concentration'!BB39*HRT!D39/1000</f>
        <v>6.1429943239265636</v>
      </c>
      <c r="AH39" s="139">
        <f>'Effluent Concentration'!BC39*HRT!D39/1000</f>
        <v>28.684095952144105</v>
      </c>
      <c r="AI39" s="139">
        <f>'Effluent Concentration'!BD39*HRT!D39/1000</f>
        <v>3.438715069365347</v>
      </c>
      <c r="AJ39" s="139">
        <f>'Effluent Concentration'!BE39*HRT!D39/1000</f>
        <v>0.39163788974037417</v>
      </c>
      <c r="AK39" s="139">
        <f>'Effluent Concentration'!BF39*HRT!D39/1000</f>
        <v>2.3925248433736703</v>
      </c>
      <c r="AL39" s="139">
        <f>Gas!S39*Constants!$E$17</f>
        <v>8.6519311900950253</v>
      </c>
      <c r="AM39" s="139">
        <f>Gas!W39*Constants!$E$19</f>
        <v>3.8885084000427082E-2</v>
      </c>
    </row>
    <row r="40" spans="1:39">
      <c r="A40" s="58">
        <f>Rawdata!Y42</f>
        <v>79.150000000001455</v>
      </c>
      <c r="B40" s="107">
        <f>'Influent Concentration'!S40*HRT!B40/1000</f>
        <v>186.59043610086772</v>
      </c>
      <c r="C40" s="125">
        <f>'Influent Concentration'!T40*HRT!B40/1000</f>
        <v>17.389500694443015</v>
      </c>
      <c r="D40" s="107">
        <f>'Influent Concentration'!U40*HRT!B40/1000</f>
        <v>89.994193520369123</v>
      </c>
      <c r="E40" s="107">
        <f>'Influent Concentration'!V40*HRT!B40/1000</f>
        <v>0</v>
      </c>
      <c r="F40" s="125">
        <f>'Influent Concentration'!W40*HRT!B40/1000</f>
        <v>3.2938423446726803</v>
      </c>
      <c r="G40" s="125">
        <f>Gas!Y40-Gas!U40</f>
        <v>137.72414836901066</v>
      </c>
      <c r="H40" s="132">
        <f>'Effluent Concentration'!AJ40*HRT!D40/1000</f>
        <v>0</v>
      </c>
      <c r="I40" s="132">
        <f>'Effluent Concentration'!AK40*HRT!D40/1000</f>
        <v>0</v>
      </c>
      <c r="J40" s="132">
        <f>'Effluent Concentration'!AL40*HRT!D40/1000</f>
        <v>73.149881144378753</v>
      </c>
      <c r="K40" s="132">
        <f>'Effluent Concentration'!AM40*HRT!D40/1000</f>
        <v>1.7756456366645599</v>
      </c>
      <c r="L40" s="132">
        <f>'Effluent Concentration'!AN40*HRT!D40/1000</f>
        <v>0.34974772725485243</v>
      </c>
      <c r="M40" s="132">
        <f>'Effluent Concentration'!AO40*HRT!D40/1000</f>
        <v>160.16718759001841</v>
      </c>
      <c r="N40" s="132">
        <f>'Effluent Concentration'!AP40*HRT!D40/1000</f>
        <v>1.1687603934882502</v>
      </c>
      <c r="O40" s="132">
        <f>'Effluent Concentration'!AQ40*HRT!D40/1000</f>
        <v>5.2321398876027745</v>
      </c>
      <c r="P40" s="132">
        <f>'Effluent Concentration'!AR40*HRT!D40/1000</f>
        <v>0.45498275088248724</v>
      </c>
      <c r="Q40" s="132">
        <f>'Effluent Concentration'!AS40*HRT!D40/1000</f>
        <v>8.6174145753910747E-2</v>
      </c>
      <c r="R40" s="132">
        <f>'Effluent Concentration'!AT40*HRT!D40/1000</f>
        <v>0.66360858619961749</v>
      </c>
      <c r="S40" s="132">
        <f>Gas!S40</f>
        <v>4.4411401493904821</v>
      </c>
      <c r="T40" s="132">
        <f>Gas!W40</f>
        <v>3.4162616533772935E-3</v>
      </c>
      <c r="U40" s="135">
        <f>Gas!V40</f>
        <v>153.12261090655517</v>
      </c>
      <c r="V40" s="138">
        <f>'Influent Concentration'!Y40*HRT!B40/1000</f>
        <v>839.65696245390484</v>
      </c>
      <c r="W40" s="138">
        <f>'Influent Concentration'!Z40*HRT!B40/1000</f>
        <v>78.252753124993561</v>
      </c>
      <c r="X40" s="138">
        <f>'Influent Concentration'!AA40*HRT!B40/1000</f>
        <v>359.97677408147649</v>
      </c>
      <c r="Y40" s="138">
        <f>'Influent Concentration'!AB40*HRT!B40/1000</f>
        <v>0</v>
      </c>
      <c r="Z40" s="138">
        <f>'Influent Concentration'!AC40*HRT!B40/1000</f>
        <v>14.908970612728972</v>
      </c>
      <c r="AA40" s="139">
        <f>'Effluent Concentration'!AV40*HRT!D40/1000</f>
        <v>0</v>
      </c>
      <c r="AB40" s="139">
        <f>'Effluent Concentration'!AW40*HRT!D40/1000</f>
        <v>0</v>
      </c>
      <c r="AC40" s="139">
        <f>'Effluent Concentration'!AX40*HRT!D40/1000</f>
        <v>292.59952457751501</v>
      </c>
      <c r="AD40" s="139">
        <f>'Effluent Concentration'!AY40*HRT!D40/1000</f>
        <v>8.2863463044346126</v>
      </c>
      <c r="AE40" s="139">
        <f>'Effluent Concentration'!AZ40*HRT!D40/1000</f>
        <v>1.7487386362742621</v>
      </c>
      <c r="AF40" s="139">
        <f>'Effluent Concentration'!BA40*HRT!D40/1000</f>
        <v>800.83593795009199</v>
      </c>
      <c r="AG40" s="139">
        <f>'Effluent Concentration'!BB40*HRT!D40/1000</f>
        <v>6.0775540461389017</v>
      </c>
      <c r="AH40" s="139">
        <f>'Effluent Concentration'!BC40*HRT!D40/1000</f>
        <v>27.904746067214798</v>
      </c>
      <c r="AI40" s="139">
        <f>'Effluent Concentration'!BD40*HRT!D40/1000</f>
        <v>2.0474223789711927</v>
      </c>
      <c r="AJ40" s="139">
        <f>'Effluent Concentration'!BE40*HRT!D40/1000</f>
        <v>0.38778365589259833</v>
      </c>
      <c r="AK40" s="139">
        <f>'Effluent Concentration'!BF40*HRT!D40/1000</f>
        <v>2.65443434479847</v>
      </c>
      <c r="AL40" s="139">
        <f>Gas!S40*Constants!$E$17</f>
        <v>8.8822802987809641</v>
      </c>
      <c r="AM40" s="139">
        <f>Gas!W40*Constants!$E$19</f>
        <v>2.7330093227018348E-2</v>
      </c>
    </row>
    <row r="41" spans="1:39">
      <c r="A41" s="58">
        <f>Rawdata!Y43</f>
        <v>82.143055555556202</v>
      </c>
      <c r="B41" s="107">
        <f>'Influent Concentration'!S41*HRT!B41/1000</f>
        <v>212.85080448228848</v>
      </c>
      <c r="C41" s="125">
        <f>'Influent Concentration'!T41*HRT!B41/1000</f>
        <v>19.836864577328125</v>
      </c>
      <c r="D41" s="107">
        <f>'Influent Concentration'!U41*HRT!B41/1000</f>
        <v>102.65979805733591</v>
      </c>
      <c r="E41" s="107">
        <f>'Influent Concentration'!V41*HRT!B41/1000</f>
        <v>0</v>
      </c>
      <c r="F41" s="125">
        <f>'Influent Concentration'!W41*HRT!B41/1000</f>
        <v>3.7574111918705513</v>
      </c>
      <c r="G41" s="125">
        <f>Gas!Y41-Gas!U41</f>
        <v>145.53738347003355</v>
      </c>
      <c r="H41" s="132">
        <f>'Effluent Concentration'!AJ41*HRT!D41/1000</f>
        <v>0</v>
      </c>
      <c r="I41" s="132">
        <f>'Effluent Concentration'!AK41*HRT!D41/1000</f>
        <v>0</v>
      </c>
      <c r="J41" s="132">
        <f>'Effluent Concentration'!AL41*HRT!D41/1000</f>
        <v>79.422543417134051</v>
      </c>
      <c r="K41" s="132">
        <f>'Effluent Concentration'!AM41*HRT!D41/1000</f>
        <v>1.8784201649884082</v>
      </c>
      <c r="L41" s="132">
        <f>'Effluent Concentration'!AN41*HRT!D41/1000</f>
        <v>0.56351113618102944</v>
      </c>
      <c r="M41" s="132">
        <f>'Effluent Concentration'!AO41*HRT!D41/1000</f>
        <v>188.68725517809</v>
      </c>
      <c r="N41" s="132">
        <f>'Effluent Concentration'!AP41*HRT!D41/1000</f>
        <v>1.3166686264153464</v>
      </c>
      <c r="O41" s="132">
        <f>'Effluent Concentration'!AQ41*HRT!D41/1000</f>
        <v>4.0831386684959305</v>
      </c>
      <c r="P41" s="132">
        <f>'Effluent Concentration'!AR41*HRT!D41/1000</f>
        <v>0.93713329637619991</v>
      </c>
      <c r="Q41" s="132">
        <f>'Effluent Concentration'!AS41*HRT!D41/1000</f>
        <v>0.14418331458041153</v>
      </c>
      <c r="R41" s="132">
        <f>'Effluent Concentration'!AT41*HRT!D41/1000</f>
        <v>1.0461683000542414</v>
      </c>
      <c r="S41" s="132">
        <f>Gas!S41</f>
        <v>5.784240905848419</v>
      </c>
      <c r="T41" s="132">
        <f>Gas!W41</f>
        <v>7.3528486091293463E-3</v>
      </c>
      <c r="U41" s="135">
        <f>Gas!V41</f>
        <v>158.97180746066724</v>
      </c>
      <c r="V41" s="138">
        <f>'Influent Concentration'!Y41*HRT!B41/1000</f>
        <v>957.82862017029822</v>
      </c>
      <c r="W41" s="138">
        <f>'Influent Concentration'!Z41*HRT!B41/1000</f>
        <v>89.265890597976551</v>
      </c>
      <c r="X41" s="138">
        <f>'Influent Concentration'!AA41*HRT!B41/1000</f>
        <v>410.63919222934362</v>
      </c>
      <c r="Y41" s="138">
        <f>'Influent Concentration'!AB41*HRT!B41/1000</f>
        <v>0</v>
      </c>
      <c r="Z41" s="138">
        <f>'Influent Concentration'!AC41*HRT!B41/1000</f>
        <v>17.007229605308812</v>
      </c>
      <c r="AA41" s="139">
        <f>'Effluent Concentration'!AV41*HRT!D41/1000</f>
        <v>0</v>
      </c>
      <c r="AB41" s="139">
        <f>'Effluent Concentration'!AW41*HRT!D41/1000</f>
        <v>0</v>
      </c>
      <c r="AC41" s="139">
        <f>'Effluent Concentration'!AX41*HRT!D41/1000</f>
        <v>317.6901736685362</v>
      </c>
      <c r="AD41" s="139">
        <f>'Effluent Concentration'!AY41*HRT!D41/1000</f>
        <v>8.7659607699459041</v>
      </c>
      <c r="AE41" s="139">
        <f>'Effluent Concentration'!AZ41*HRT!D41/1000</f>
        <v>2.8175556809051474</v>
      </c>
      <c r="AF41" s="139">
        <f>'Effluent Concentration'!BA41*HRT!D41/1000</f>
        <v>943.43627589045013</v>
      </c>
      <c r="AG41" s="139">
        <f>'Effluent Concentration'!BB41*HRT!D41/1000</f>
        <v>6.8466768573598014</v>
      </c>
      <c r="AH41" s="139">
        <f>'Effluent Concentration'!BC41*HRT!D41/1000</f>
        <v>21.776739565311626</v>
      </c>
      <c r="AI41" s="139">
        <f>'Effluent Concentration'!BD41*HRT!D41/1000</f>
        <v>4.2170998336928998</v>
      </c>
      <c r="AJ41" s="139">
        <f>'Effluent Concentration'!BE41*HRT!D41/1000</f>
        <v>0.64882491561185174</v>
      </c>
      <c r="AK41" s="139">
        <f>'Effluent Concentration'!BF41*HRT!D41/1000</f>
        <v>4.1846732002169658</v>
      </c>
      <c r="AL41" s="139">
        <f>Gas!S41*Constants!$E$17</f>
        <v>11.568481811696838</v>
      </c>
      <c r="AM41" s="139">
        <f>Gas!W41*Constants!$E$19</f>
        <v>5.882278887303477E-2</v>
      </c>
    </row>
    <row r="42" spans="1:39">
      <c r="A42" s="58">
        <f>Rawdata!Y44</f>
        <v>84.15763888888614</v>
      </c>
      <c r="B42" s="107">
        <f>'Influent Concentration'!S42*HRT!B42/1000</f>
        <v>177.52494242215161</v>
      </c>
      <c r="C42" s="125">
        <f>'Influent Concentration'!T42*HRT!B42/1000</f>
        <v>17.488429556505988</v>
      </c>
      <c r="D42" s="107">
        <f>'Influent Concentration'!U42*HRT!B42/1000</f>
        <v>85.348559515665826</v>
      </c>
      <c r="E42" s="107">
        <f>'Influent Concentration'!V42*HRT!B42/1000</f>
        <v>0</v>
      </c>
      <c r="F42" s="125">
        <f>'Influent Concentration'!W42*HRT!B42/1000</f>
        <v>3.3483191070342944</v>
      </c>
      <c r="G42" s="125">
        <f>Gas!Y42-Gas!U42</f>
        <v>155.11432357599051</v>
      </c>
      <c r="H42" s="132">
        <f>'Effluent Concentration'!AJ42*HRT!D42/1000</f>
        <v>0</v>
      </c>
      <c r="I42" s="132">
        <f>'Effluent Concentration'!AK42*HRT!D42/1000</f>
        <v>0</v>
      </c>
      <c r="J42" s="132">
        <f>'Effluent Concentration'!AL42*HRT!D42/1000</f>
        <v>70.893972465107652</v>
      </c>
      <c r="K42" s="132">
        <f>'Effluent Concentration'!AM42*HRT!D42/1000</f>
        <v>1.8851827840387776</v>
      </c>
      <c r="L42" s="132">
        <f>'Effluent Concentration'!AN42*HRT!D42/1000</f>
        <v>0.58435200519390529</v>
      </c>
      <c r="M42" s="132">
        <f>'Effluent Concentration'!AO42*HRT!D42/1000</f>
        <v>163.4955399795158</v>
      </c>
      <c r="N42" s="132">
        <f>'Effluent Concentration'!AP42*HRT!D42/1000</f>
        <v>1.2982410666591073</v>
      </c>
      <c r="O42" s="132">
        <f>'Effluent Concentration'!AQ42*HRT!D42/1000</f>
        <v>4.3741211513187617</v>
      </c>
      <c r="P42" s="132">
        <f>'Effluent Concentration'!AR42*HRT!D42/1000</f>
        <v>0</v>
      </c>
      <c r="Q42" s="132">
        <f>'Effluent Concentration'!AS42*HRT!D42/1000</f>
        <v>0.10567280933263773</v>
      </c>
      <c r="R42" s="132">
        <f>'Effluent Concentration'!AT42*HRT!D42/1000</f>
        <v>0.63496123349800759</v>
      </c>
      <c r="S42" s="132">
        <f>Gas!S42</f>
        <v>8.9345850379770511</v>
      </c>
      <c r="T42" s="132">
        <f>Gas!W42</f>
        <v>8.4382192025338806E-3</v>
      </c>
      <c r="U42" s="135">
        <f>Gas!V42</f>
        <v>166.25977932565306</v>
      </c>
      <c r="V42" s="138">
        <f>'Influent Concentration'!Y42*HRT!B42/1000</f>
        <v>798.86224089968232</v>
      </c>
      <c r="W42" s="138">
        <f>'Influent Concentration'!Z42*HRT!B42/1000</f>
        <v>78.697933004276948</v>
      </c>
      <c r="X42" s="138">
        <f>'Influent Concentration'!AA42*HRT!B42/1000</f>
        <v>341.39423806266331</v>
      </c>
      <c r="Y42" s="138">
        <f>'Influent Concentration'!AB42*HRT!B42/1000</f>
        <v>0</v>
      </c>
      <c r="Z42" s="138">
        <f>'Influent Concentration'!AC42*HRT!B42/1000</f>
        <v>15.155549642365754</v>
      </c>
      <c r="AA42" s="139">
        <f>'Effluent Concentration'!AV42*HRT!D42/1000</f>
        <v>0</v>
      </c>
      <c r="AB42" s="139">
        <f>'Effluent Concentration'!AW42*HRT!D42/1000</f>
        <v>0</v>
      </c>
      <c r="AC42" s="139">
        <f>'Effluent Concentration'!AX42*HRT!D42/1000</f>
        <v>283.57588986043061</v>
      </c>
      <c r="AD42" s="139">
        <f>'Effluent Concentration'!AY42*HRT!D42/1000</f>
        <v>8.7975196588476283</v>
      </c>
      <c r="AE42" s="139">
        <f>'Effluent Concentration'!AZ42*HRT!D42/1000</f>
        <v>2.921760025969526</v>
      </c>
      <c r="AF42" s="139">
        <f>'Effluent Concentration'!BA42*HRT!D42/1000</f>
        <v>817.47769989757887</v>
      </c>
      <c r="AG42" s="139">
        <f>'Effluent Concentration'!BB42*HRT!D42/1000</f>
        <v>6.7508535466273578</v>
      </c>
      <c r="AH42" s="139">
        <f>'Effluent Concentration'!BC42*HRT!D42/1000</f>
        <v>23.328646140366732</v>
      </c>
      <c r="AI42" s="139">
        <f>'Effluent Concentration'!BD42*HRT!D42/1000</f>
        <v>0</v>
      </c>
      <c r="AJ42" s="139">
        <f>'Effluent Concentration'!BE42*HRT!D42/1000</f>
        <v>0.47552764199686975</v>
      </c>
      <c r="AK42" s="139">
        <f>'Effluent Concentration'!BF42*HRT!D42/1000</f>
        <v>2.5398449339920304</v>
      </c>
      <c r="AL42" s="139">
        <f>Gas!S42*Constants!$E$17</f>
        <v>17.869170075954102</v>
      </c>
      <c r="AM42" s="139">
        <f>Gas!W42*Constants!$E$19</f>
        <v>6.7505753620271045E-2</v>
      </c>
    </row>
    <row r="43" spans="1:39">
      <c r="A43" s="58">
        <f>Rawdata!Y45</f>
        <v>86.27986111111386</v>
      </c>
      <c r="B43" s="107">
        <f>'Influent Concentration'!S43*HRT!B43/1000</f>
        <v>192.74609916551449</v>
      </c>
      <c r="C43" s="125">
        <f>'Influent Concentration'!T43*HRT!B43/1000</f>
        <v>18.987904074525161</v>
      </c>
      <c r="D43" s="107">
        <f>'Influent Concentration'!U43*HRT!B43/1000</f>
        <v>92.666425864378297</v>
      </c>
      <c r="E43" s="107">
        <f>'Influent Concentration'!V43*HRT!B43/1000</f>
        <v>0</v>
      </c>
      <c r="F43" s="125">
        <f>'Influent Concentration'!W43*HRT!B43/1000</f>
        <v>3.6354071593361006</v>
      </c>
      <c r="G43" s="125">
        <f>Gas!Y43-Gas!U43</f>
        <v>144.31231533211781</v>
      </c>
      <c r="H43" s="132">
        <f>'Effluent Concentration'!AJ43*HRT!D43/1000</f>
        <v>0</v>
      </c>
      <c r="I43" s="132">
        <f>'Effluent Concentration'!AK43*HRT!D43/1000</f>
        <v>0</v>
      </c>
      <c r="J43" s="132">
        <f>'Effluent Concentration'!AL43*HRT!D43/1000</f>
        <v>75.518973281232206</v>
      </c>
      <c r="K43" s="132">
        <f>'Effluent Concentration'!AM43*HRT!D43/1000</f>
        <v>0.86723298994494569</v>
      </c>
      <c r="L43" s="132">
        <f>'Effluent Concentration'!AN43*HRT!D43/1000</f>
        <v>0.64335976982436638</v>
      </c>
      <c r="M43" s="132">
        <f>'Effluent Concentration'!AO43*HRT!D43/1000</f>
        <v>195.13816662961727</v>
      </c>
      <c r="N43" s="132">
        <f>'Effluent Concentration'!AP43*HRT!D43/1000</f>
        <v>1.5957454645331599</v>
      </c>
      <c r="O43" s="132">
        <f>'Effluent Concentration'!AQ43*HRT!D43/1000</f>
        <v>6.6937745824325798</v>
      </c>
      <c r="P43" s="132">
        <f>'Effluent Concentration'!AR43*HRT!D43/1000</f>
        <v>0.48804649798119265</v>
      </c>
      <c r="Q43" s="132">
        <f>'Effluent Concentration'!AS43*HRT!D43/1000</f>
        <v>0.13412981301038834</v>
      </c>
      <c r="R43" s="132">
        <f>'Effluent Concentration'!AT43*HRT!D43/1000</f>
        <v>0.84429720992406865</v>
      </c>
      <c r="S43" s="132">
        <f>Gas!S43</f>
        <v>5.9052384697958225</v>
      </c>
      <c r="T43" s="132">
        <f>Gas!W43</f>
        <v>4.8803623717320853E-3</v>
      </c>
      <c r="U43" s="135">
        <f>Gas!V43</f>
        <v>158.91663546947564</v>
      </c>
      <c r="V43" s="138">
        <f>'Influent Concentration'!Y43*HRT!B43/1000</f>
        <v>867.35744624481526</v>
      </c>
      <c r="W43" s="138">
        <f>'Influent Concentration'!Z43*HRT!B43/1000</f>
        <v>85.445568335363234</v>
      </c>
      <c r="X43" s="138">
        <f>'Influent Concentration'!AA43*HRT!B43/1000</f>
        <v>370.66570345751319</v>
      </c>
      <c r="Y43" s="138">
        <f>'Influent Concentration'!AB43*HRT!B43/1000</f>
        <v>0</v>
      </c>
      <c r="Z43" s="138">
        <f>'Influent Concentration'!AC43*HRT!B43/1000</f>
        <v>16.455000826468666</v>
      </c>
      <c r="AA43" s="139">
        <f>'Effluent Concentration'!AV43*HRT!D43/1000</f>
        <v>0</v>
      </c>
      <c r="AB43" s="139">
        <f>'Effluent Concentration'!AW43*HRT!D43/1000</f>
        <v>0</v>
      </c>
      <c r="AC43" s="139">
        <f>'Effluent Concentration'!AX43*HRT!D43/1000</f>
        <v>302.07589312492883</v>
      </c>
      <c r="AD43" s="139">
        <f>'Effluent Concentration'!AY43*HRT!D43/1000</f>
        <v>4.047087286409746</v>
      </c>
      <c r="AE43" s="139">
        <f>'Effluent Concentration'!AZ43*HRT!D43/1000</f>
        <v>3.2167988491218322</v>
      </c>
      <c r="AF43" s="139">
        <f>'Effluent Concentration'!BA43*HRT!D43/1000</f>
        <v>975.69083314808631</v>
      </c>
      <c r="AG43" s="139">
        <f>'Effluent Concentration'!BB43*HRT!D43/1000</f>
        <v>8.2978764155724303</v>
      </c>
      <c r="AH43" s="139">
        <f>'Effluent Concentration'!BC43*HRT!D43/1000</f>
        <v>35.70013110630709</v>
      </c>
      <c r="AI43" s="139">
        <f>'Effluent Concentration'!BD43*HRT!D43/1000</f>
        <v>2.1962092409153673</v>
      </c>
      <c r="AJ43" s="139">
        <f>'Effluent Concentration'!BE43*HRT!D43/1000</f>
        <v>0.60358415854674763</v>
      </c>
      <c r="AK43" s="139">
        <f>'Effluent Concentration'!BF43*HRT!D43/1000</f>
        <v>3.3771888396962746</v>
      </c>
      <c r="AL43" s="139">
        <f>Gas!S43*Constants!$E$17</f>
        <v>11.810476939591645</v>
      </c>
      <c r="AM43" s="139">
        <f>Gas!W43*Constants!$E$19</f>
        <v>3.9042898973856682E-2</v>
      </c>
    </row>
    <row r="44" spans="1:39">
      <c r="A44" s="58">
        <f>Rawdata!Y46</f>
        <v>89.148611111115315</v>
      </c>
      <c r="B44" s="107">
        <f>'Influent Concentration'!S44*HRT!B44/1000</f>
        <v>167.08901024122719</v>
      </c>
      <c r="C44" s="125">
        <f>'Influent Concentration'!T44*HRT!B44/1000</f>
        <v>16.460359572015754</v>
      </c>
      <c r="D44" s="107">
        <f>'Influent Concentration'!U44*HRT!B44/1000</f>
        <v>80.331282694209222</v>
      </c>
      <c r="E44" s="107">
        <f>'Influent Concentration'!V44*HRT!B44/1000</f>
        <v>0</v>
      </c>
      <c r="F44" s="125">
        <f>'Influent Concentration'!W44*HRT!B44/1000</f>
        <v>3.15148574579309</v>
      </c>
      <c r="G44" s="125">
        <f>Gas!Y44-Gas!U44</f>
        <v>140.44901921143469</v>
      </c>
      <c r="H44" s="132">
        <f>'Effluent Concentration'!AJ44*HRT!D44/1000</f>
        <v>0.32539378009164088</v>
      </c>
      <c r="I44" s="132">
        <f>'Effluent Concentration'!AK44*HRT!D44/1000</f>
        <v>0</v>
      </c>
      <c r="J44" s="132">
        <f>'Effluent Concentration'!AL44*HRT!D44/1000</f>
        <v>61.350971760607486</v>
      </c>
      <c r="K44" s="132">
        <f>'Effluent Concentration'!AM44*HRT!D44/1000</f>
        <v>1.6953154358977105</v>
      </c>
      <c r="L44" s="132">
        <f>'Effluent Concentration'!AN44*HRT!D44/1000</f>
        <v>0.5933836624840968</v>
      </c>
      <c r="M44" s="132">
        <f>'Effluent Concentration'!AO44*HRT!D44/1000</f>
        <v>160.91901000792504</v>
      </c>
      <c r="N44" s="132">
        <f>'Effluent Concentration'!AP44*HRT!D44/1000</f>
        <v>1.2753409059172518</v>
      </c>
      <c r="O44" s="132">
        <f>'Effluent Concentration'!AQ44*HRT!D44/1000</f>
        <v>7.7523354558656692</v>
      </c>
      <c r="P44" s="132">
        <f>'Effluent Concentration'!AR44*HRT!D44/1000</f>
        <v>0.56543296175855573</v>
      </c>
      <c r="Q44" s="132">
        <f>'Effluent Concentration'!AS44*HRT!D44/1000</f>
        <v>0.14864150198577208</v>
      </c>
      <c r="R44" s="132">
        <f>'Effluent Concentration'!AT44*HRT!D44/1000</f>
        <v>0.80211798474035156</v>
      </c>
      <c r="S44" s="132">
        <f>Gas!S44</f>
        <v>1.6867773412888643</v>
      </c>
      <c r="T44" s="132">
        <f>Gas!W44</f>
        <v>3.9688878618561506E-3</v>
      </c>
      <c r="U44" s="135">
        <f>Gas!V44</f>
        <v>157.89443674123774</v>
      </c>
      <c r="V44" s="138">
        <f>'Influent Concentration'!Y44*HRT!B44/1000</f>
        <v>751.90054608552236</v>
      </c>
      <c r="W44" s="138">
        <f>'Influent Concentration'!Z44*HRT!B44/1000</f>
        <v>74.071618074070898</v>
      </c>
      <c r="X44" s="138">
        <f>'Influent Concentration'!AA44*HRT!B44/1000</f>
        <v>321.32513077683689</v>
      </c>
      <c r="Y44" s="138">
        <f>'Influent Concentration'!AB44*HRT!B44/1000</f>
        <v>0</v>
      </c>
      <c r="Z44" s="138">
        <f>'Influent Concentration'!AC44*HRT!B44/1000</f>
        <v>14.264619691484514</v>
      </c>
      <c r="AA44" s="139">
        <f>'Effluent Concentration'!AV44*HRT!D44/1000</f>
        <v>1.9523626805498455</v>
      </c>
      <c r="AB44" s="139">
        <f>'Effluent Concentration'!AW44*HRT!D44/1000</f>
        <v>0</v>
      </c>
      <c r="AC44" s="139">
        <f>'Effluent Concentration'!AX44*HRT!D44/1000</f>
        <v>245.40388704242994</v>
      </c>
      <c r="AD44" s="139">
        <f>'Effluent Concentration'!AY44*HRT!D44/1000</f>
        <v>7.9114720341893161</v>
      </c>
      <c r="AE44" s="139">
        <f>'Effluent Concentration'!AZ44*HRT!D44/1000</f>
        <v>2.9669183124204843</v>
      </c>
      <c r="AF44" s="139">
        <f>'Effluent Concentration'!BA44*HRT!D44/1000</f>
        <v>804.59505003962511</v>
      </c>
      <c r="AG44" s="139">
        <f>'Effluent Concentration'!BB44*HRT!D44/1000</f>
        <v>6.6317727107697086</v>
      </c>
      <c r="AH44" s="139">
        <f>'Effluent Concentration'!BC44*HRT!D44/1000</f>
        <v>41.345789097950238</v>
      </c>
      <c r="AI44" s="139">
        <f>'Effluent Concentration'!BD44*HRT!D44/1000</f>
        <v>2.5444483279135008</v>
      </c>
      <c r="AJ44" s="139">
        <f>'Effluent Concentration'!BE44*HRT!D44/1000</f>
        <v>0.66888675893597449</v>
      </c>
      <c r="AK44" s="139">
        <f>'Effluent Concentration'!BF44*HRT!D44/1000</f>
        <v>3.2084719389614063</v>
      </c>
      <c r="AL44" s="139">
        <f>Gas!S44*Constants!$E$17</f>
        <v>3.3735546825777285</v>
      </c>
      <c r="AM44" s="139">
        <f>Gas!W44*Constants!$E$19</f>
        <v>3.1751102894849205E-2</v>
      </c>
    </row>
    <row r="45" spans="1:39">
      <c r="A45" s="58">
        <f>Rawdata!Y47</f>
        <v>91.1875</v>
      </c>
      <c r="B45" s="107">
        <f>'Influent Concentration'!S45*HRT!B45/1000</f>
        <v>193.50967870395172</v>
      </c>
      <c r="C45" s="125">
        <f>'Influent Concentration'!T45*HRT!B45/1000</f>
        <v>19.063126219574468</v>
      </c>
      <c r="D45" s="107">
        <f>'Influent Concentration'!U45*HRT!B45/1000</f>
        <v>93.033531538612394</v>
      </c>
      <c r="E45" s="107">
        <f>'Influent Concentration'!V45*HRT!B45/1000</f>
        <v>0</v>
      </c>
      <c r="F45" s="125">
        <f>'Influent Concentration'!W45*HRT!B45/1000</f>
        <v>3.6498091240595136</v>
      </c>
      <c r="G45" s="125">
        <f>Gas!Y45-Gas!U45</f>
        <v>150.15667790480984</v>
      </c>
      <c r="H45" s="132">
        <f>'Effluent Concentration'!AJ45*HRT!D45/1000</f>
        <v>0</v>
      </c>
      <c r="I45" s="132">
        <f>'Effluent Concentration'!AK45*HRT!D45/1000</f>
        <v>0</v>
      </c>
      <c r="J45" s="132">
        <f>'Effluent Concentration'!AL45*HRT!D45/1000</f>
        <v>69.514009315722774</v>
      </c>
      <c r="K45" s="132">
        <f>'Effluent Concentration'!AM45*HRT!D45/1000</f>
        <v>1.9163245272842759</v>
      </c>
      <c r="L45" s="132">
        <f>'Effluent Concentration'!AN45*HRT!D45/1000</f>
        <v>0.63633947780911781</v>
      </c>
      <c r="M45" s="132">
        <f>'Effluent Concentration'!AO45*HRT!D45/1000</f>
        <v>190.38511654872497</v>
      </c>
      <c r="N45" s="132">
        <f>'Effluent Concentration'!AP45*HRT!D45/1000</f>
        <v>1.4343789544316641</v>
      </c>
      <c r="O45" s="132">
        <f>'Effluent Concentration'!AQ45*HRT!D45/1000</f>
        <v>10.125349607064813</v>
      </c>
      <c r="P45" s="132">
        <f>'Effluent Concentration'!AR45*HRT!D45/1000</f>
        <v>0.60133901034877335</v>
      </c>
      <c r="Q45" s="132">
        <f>'Effluent Concentration'!AS45*HRT!D45/1000</f>
        <v>0.16159341516721229</v>
      </c>
      <c r="R45" s="132">
        <f>'Effluent Concentration'!AT45*HRT!D45/1000</f>
        <v>0.89853557963799813</v>
      </c>
      <c r="S45" s="132">
        <f>Gas!S45</f>
        <v>1.7189653362840163</v>
      </c>
      <c r="T45" s="132">
        <f>Gas!W45</f>
        <v>4.5502023607518075E-3</v>
      </c>
      <c r="U45" s="135">
        <f>Gas!V45</f>
        <v>162.01913996964291</v>
      </c>
      <c r="V45" s="138">
        <f>'Influent Concentration'!Y45*HRT!B45/1000</f>
        <v>870.79355416778264</v>
      </c>
      <c r="W45" s="138">
        <f>'Influent Concentration'!Z45*HRT!B45/1000</f>
        <v>85.784067988085113</v>
      </c>
      <c r="X45" s="138">
        <f>'Influent Concentration'!AA45*HRT!B45/1000</f>
        <v>372.13412615444958</v>
      </c>
      <c r="Y45" s="138">
        <f>'Influent Concentration'!AB45*HRT!B45/1000</f>
        <v>0</v>
      </c>
      <c r="Z45" s="138">
        <f>'Influent Concentration'!AC45*HRT!B45/1000</f>
        <v>16.520188666795693</v>
      </c>
      <c r="AA45" s="139">
        <f>'Effluent Concentration'!AV45*HRT!D45/1000</f>
        <v>0</v>
      </c>
      <c r="AB45" s="139">
        <f>'Effluent Concentration'!AW45*HRT!D45/1000</f>
        <v>0</v>
      </c>
      <c r="AC45" s="139">
        <f>'Effluent Concentration'!AX45*HRT!D45/1000</f>
        <v>278.0560372628911</v>
      </c>
      <c r="AD45" s="139">
        <f>'Effluent Concentration'!AY45*HRT!D45/1000</f>
        <v>8.9428477939932876</v>
      </c>
      <c r="AE45" s="139">
        <f>'Effluent Concentration'!AZ45*HRT!D45/1000</f>
        <v>3.1816973890455897</v>
      </c>
      <c r="AF45" s="139">
        <f>'Effluent Concentration'!BA45*HRT!D45/1000</f>
        <v>951.92558274362489</v>
      </c>
      <c r="AG45" s="139">
        <f>'Effluent Concentration'!BB45*HRT!D45/1000</f>
        <v>7.4587705630446539</v>
      </c>
      <c r="AH45" s="139">
        <f>'Effluent Concentration'!BC45*HRT!D45/1000</f>
        <v>54.001864571012334</v>
      </c>
      <c r="AI45" s="139">
        <f>'Effluent Concentration'!BD45*HRT!D45/1000</f>
        <v>2.7060255465694802</v>
      </c>
      <c r="AJ45" s="139">
        <f>'Effluent Concentration'!BE45*HRT!D45/1000</f>
        <v>0.72717036825245529</v>
      </c>
      <c r="AK45" s="139">
        <f>'Effluent Concentration'!BF45*HRT!D45/1000</f>
        <v>3.5941423185519925</v>
      </c>
      <c r="AL45" s="139">
        <f>Gas!S45*Constants!$E$17</f>
        <v>3.4379306725680325</v>
      </c>
      <c r="AM45" s="139">
        <f>Gas!W45*Constants!$E$19</f>
        <v>3.640161888601446E-2</v>
      </c>
    </row>
    <row r="46" spans="1:39">
      <c r="A46" s="58">
        <f>Rawdata!Y48</f>
        <v>93.170833333337214</v>
      </c>
      <c r="B46" s="107">
        <f>'Influent Concentration'!S46*HRT!B46/1000</f>
        <v>193.81128382153682</v>
      </c>
      <c r="C46" s="125">
        <f>'Influent Concentration'!T46*HRT!B46/1000</f>
        <v>18.239990629274462</v>
      </c>
      <c r="D46" s="107">
        <f>'Influent Concentration'!U46*HRT!B46/1000</f>
        <v>90.487713031749763</v>
      </c>
      <c r="E46" s="107">
        <f>'Influent Concentration'!V46*HRT!B46/1000</f>
        <v>0</v>
      </c>
      <c r="F46" s="125">
        <f>'Influent Concentration'!W46*HRT!B46/1000</f>
        <v>3.5138750472032352</v>
      </c>
      <c r="G46" s="125">
        <f>Gas!Y46-Gas!U46</f>
        <v>147.18564097286139</v>
      </c>
      <c r="H46" s="132">
        <f>'Effluent Concentration'!AJ46*HRT!D46/1000</f>
        <v>0</v>
      </c>
      <c r="I46" s="132">
        <f>'Effluent Concentration'!AK46*HRT!D46/1000</f>
        <v>0</v>
      </c>
      <c r="J46" s="132">
        <f>'Effluent Concentration'!AL46*HRT!D46/1000</f>
        <v>69.228058186669656</v>
      </c>
      <c r="K46" s="132">
        <f>'Effluent Concentration'!AM46*HRT!D46/1000</f>
        <v>2.7366112492459664</v>
      </c>
      <c r="L46" s="132">
        <f>'Effluent Concentration'!AN46*HRT!D46/1000</f>
        <v>0.82913623058867314</v>
      </c>
      <c r="M46" s="132">
        <f>'Effluent Concentration'!AO46*HRT!D46/1000</f>
        <v>185.94761864668644</v>
      </c>
      <c r="N46" s="132">
        <f>'Effluent Concentration'!AP46*HRT!D46/1000</f>
        <v>1.5274970851916099</v>
      </c>
      <c r="O46" s="132">
        <f>'Effluent Concentration'!AQ46*HRT!D46/1000</f>
        <v>12.350390478481287</v>
      </c>
      <c r="P46" s="132">
        <f>'Effluent Concentration'!AR46*HRT!D46/1000</f>
        <v>0.58673985104784032</v>
      </c>
      <c r="Q46" s="132">
        <f>'Effluent Concentration'!AS46*HRT!D46/1000</f>
        <v>0.22393371798669864</v>
      </c>
      <c r="R46" s="132">
        <f>'Effluent Concentration'!AT46*HRT!D46/1000</f>
        <v>0.88872464438532328</v>
      </c>
      <c r="S46" s="132">
        <f>Gas!S46</f>
        <v>1.7961985474372923</v>
      </c>
      <c r="T46" s="132">
        <f>Gas!W46</f>
        <v>6.1583950197850023E-3</v>
      </c>
      <c r="U46" s="135">
        <f>Gas!V46</f>
        <v>163.17884293135751</v>
      </c>
      <c r="V46" s="138">
        <f>'Influent Concentration'!Y46*HRT!B46/1000</f>
        <v>872.15077719691578</v>
      </c>
      <c r="W46" s="138">
        <f>'Influent Concentration'!Z46*HRT!B46/1000</f>
        <v>82.079957831735086</v>
      </c>
      <c r="X46" s="138">
        <f>'Influent Concentration'!AA46*HRT!B46/1000</f>
        <v>361.95085212699905</v>
      </c>
      <c r="Y46" s="138">
        <f>'Influent Concentration'!AB46*HRT!B46/1000</f>
        <v>0</v>
      </c>
      <c r="Z46" s="138">
        <f>'Influent Concentration'!AC46*HRT!B46/1000</f>
        <v>15.904908108393588</v>
      </c>
      <c r="AA46" s="139">
        <f>'Effluent Concentration'!AV46*HRT!D46/1000</f>
        <v>0</v>
      </c>
      <c r="AB46" s="139">
        <f>'Effluent Concentration'!AW46*HRT!D46/1000</f>
        <v>0</v>
      </c>
      <c r="AC46" s="139">
        <f>'Effluent Concentration'!AX46*HRT!D46/1000</f>
        <v>276.91223274667863</v>
      </c>
      <c r="AD46" s="139">
        <f>'Effluent Concentration'!AY46*HRT!D46/1000</f>
        <v>12.770852496481178</v>
      </c>
      <c r="AE46" s="139">
        <f>'Effluent Concentration'!AZ46*HRT!D46/1000</f>
        <v>4.1456811529433653</v>
      </c>
      <c r="AF46" s="139">
        <f>'Effluent Concentration'!BA46*HRT!D46/1000</f>
        <v>929.73809323343221</v>
      </c>
      <c r="AG46" s="139">
        <f>'Effluent Concentration'!BB46*HRT!D46/1000</f>
        <v>7.9429848429963723</v>
      </c>
      <c r="AH46" s="139">
        <f>'Effluent Concentration'!BC46*HRT!D46/1000</f>
        <v>65.868749218566862</v>
      </c>
      <c r="AI46" s="139">
        <f>'Effluent Concentration'!BD46*HRT!D46/1000</f>
        <v>2.6403293297152812</v>
      </c>
      <c r="AJ46" s="139">
        <f>'Effluent Concentration'!BE46*HRT!D46/1000</f>
        <v>1.0077017309401439</v>
      </c>
      <c r="AK46" s="139">
        <f>'Effluent Concentration'!BF46*HRT!D46/1000</f>
        <v>3.5548985775412931</v>
      </c>
      <c r="AL46" s="139">
        <f>Gas!S46*Constants!$E$17</f>
        <v>3.5923970948745847</v>
      </c>
      <c r="AM46" s="139">
        <f>Gas!W46*Constants!$E$19</f>
        <v>4.9267160158280018E-2</v>
      </c>
    </row>
    <row r="47" spans="1:39">
      <c r="A47" s="58">
        <f>Rawdata!Y49</f>
        <v>96.150694444448163</v>
      </c>
      <c r="B47" s="107">
        <f>'Influent Concentration'!S47*HRT!B47/1000</f>
        <v>205.35379032671565</v>
      </c>
      <c r="C47" s="125">
        <f>'Influent Concentration'!T47*HRT!B47/1000</f>
        <v>19.326280376401176</v>
      </c>
      <c r="D47" s="107">
        <f>'Influent Concentration'!U47*HRT!B47/1000</f>
        <v>95.876744029911208</v>
      </c>
      <c r="E47" s="107">
        <f>'Influent Concentration'!V47*HRT!B47/1000</f>
        <v>0</v>
      </c>
      <c r="F47" s="125">
        <f>'Influent Concentration'!W47*HRT!B47/1000</f>
        <v>3.7231452444332165</v>
      </c>
      <c r="G47" s="125">
        <f>Gas!Y47-Gas!U47</f>
        <v>141.99884319424768</v>
      </c>
      <c r="H47" s="132">
        <f>'Effluent Concentration'!AJ47*HRT!D47/1000</f>
        <v>0</v>
      </c>
      <c r="I47" s="132">
        <f>'Effluent Concentration'!AK47*HRT!D47/1000</f>
        <v>0</v>
      </c>
      <c r="J47" s="132">
        <f>'Effluent Concentration'!AL47*HRT!D47/1000</f>
        <v>70.041633137555891</v>
      </c>
      <c r="K47" s="132">
        <f>'Effluent Concentration'!AM47*HRT!D47/1000</f>
        <v>2.123546174385242</v>
      </c>
      <c r="L47" s="132">
        <f>'Effluent Concentration'!AN47*HRT!D47/1000</f>
        <v>0.89147945006762142</v>
      </c>
      <c r="M47" s="132">
        <f>'Effluent Concentration'!AO47*HRT!D47/1000</f>
        <v>188.55770016677522</v>
      </c>
      <c r="N47" s="132">
        <f>'Effluent Concentration'!AP47*HRT!D47/1000</f>
        <v>1.5582740802170736</v>
      </c>
      <c r="O47" s="132">
        <f>'Effluent Concentration'!AQ47*HRT!D47/1000</f>
        <v>14.913717577056888</v>
      </c>
      <c r="P47" s="132">
        <f>'Effluent Concentration'!AR47*HRT!D47/1000</f>
        <v>0.52235552450376088</v>
      </c>
      <c r="Q47" s="132">
        <f>'Effluent Concentration'!AS47*HRT!D47/1000</f>
        <v>0.22559265511467144</v>
      </c>
      <c r="R47" s="132">
        <f>'Effluent Concentration'!AT47*HRT!D47/1000</f>
        <v>0.95403116317481829</v>
      </c>
      <c r="S47" s="132">
        <f>Gas!S47</f>
        <v>1.8335575161380631</v>
      </c>
      <c r="T47" s="132">
        <f>Gas!W47</f>
        <v>5.6025368548663036E-3</v>
      </c>
      <c r="U47" s="135">
        <f>Gas!V47</f>
        <v>160.4410987241202</v>
      </c>
      <c r="V47" s="138">
        <f>'Influent Concentration'!Y47*HRT!B47/1000</f>
        <v>924.09205647022054</v>
      </c>
      <c r="W47" s="138">
        <f>'Influent Concentration'!Z47*HRT!B47/1000</f>
        <v>86.968261693805317</v>
      </c>
      <c r="X47" s="138">
        <f>'Influent Concentration'!AA47*HRT!B47/1000</f>
        <v>383.50697611964483</v>
      </c>
      <c r="Y47" s="138">
        <f>'Influent Concentration'!AB47*HRT!B47/1000</f>
        <v>0</v>
      </c>
      <c r="Z47" s="138">
        <f>'Influent Concentration'!AC47*HRT!B47/1000</f>
        <v>16.852131106381925</v>
      </c>
      <c r="AA47" s="139">
        <f>'Effluent Concentration'!AV47*HRT!D47/1000</f>
        <v>0</v>
      </c>
      <c r="AB47" s="139">
        <f>'Effluent Concentration'!AW47*HRT!D47/1000</f>
        <v>0</v>
      </c>
      <c r="AC47" s="139">
        <f>'Effluent Concentration'!AX47*HRT!D47/1000</f>
        <v>280.16653255022356</v>
      </c>
      <c r="AD47" s="139">
        <f>'Effluent Concentration'!AY47*HRT!D47/1000</f>
        <v>9.90988214713113</v>
      </c>
      <c r="AE47" s="139">
        <f>'Effluent Concentration'!AZ47*HRT!D47/1000</f>
        <v>4.457397250338107</v>
      </c>
      <c r="AF47" s="139">
        <f>'Effluent Concentration'!BA47*HRT!D47/1000</f>
        <v>942.78850083387613</v>
      </c>
      <c r="AG47" s="139">
        <f>'Effluent Concentration'!BB47*HRT!D47/1000</f>
        <v>8.1030252171287813</v>
      </c>
      <c r="AH47" s="139">
        <f>'Effluent Concentration'!BC47*HRT!D47/1000</f>
        <v>79.539827077636744</v>
      </c>
      <c r="AI47" s="139">
        <f>'Effluent Concentration'!BD47*HRT!D47/1000</f>
        <v>2.3505998602669238</v>
      </c>
      <c r="AJ47" s="139">
        <f>'Effluent Concentration'!BE47*HRT!D47/1000</f>
        <v>1.0151669480160215</v>
      </c>
      <c r="AK47" s="139">
        <f>'Effluent Concentration'!BF47*HRT!D47/1000</f>
        <v>3.8161246526992731</v>
      </c>
      <c r="AL47" s="139">
        <f>Gas!S47*Constants!$E$17</f>
        <v>3.6671150322761261</v>
      </c>
      <c r="AM47" s="139">
        <f>Gas!W47*Constants!$E$19</f>
        <v>4.4820294838930429E-2</v>
      </c>
    </row>
    <row r="48" spans="1:39">
      <c r="A48" s="58">
        <f>Rawdata!Y50</f>
        <v>98.159722222226264</v>
      </c>
      <c r="B48" s="107">
        <f>'Influent Concentration'!S48*HRT!B48/1000</f>
        <v>169.65502743286459</v>
      </c>
      <c r="C48" s="125">
        <f>'Influent Concentration'!T48*HRT!B48/1000</f>
        <v>15.966594150597551</v>
      </c>
      <c r="D48" s="107">
        <f>'Influent Concentration'!U48*HRT!B48/1000</f>
        <v>79.209502842335354</v>
      </c>
      <c r="E48" s="107">
        <f>'Influent Concentration'!V48*HRT!B48/1000</f>
        <v>0</v>
      </c>
      <c r="F48" s="125">
        <f>'Influent Concentration'!W48*HRT!B48/1000</f>
        <v>3.0759125876172426</v>
      </c>
      <c r="G48" s="125">
        <f>Gas!Y48-Gas!U48</f>
        <v>138.79830979701273</v>
      </c>
      <c r="H48" s="132">
        <f>'Effluent Concentration'!AJ48*HRT!D48/1000</f>
        <v>0</v>
      </c>
      <c r="I48" s="132">
        <f>'Effluent Concentration'!AK48*HRT!D48/1000</f>
        <v>0</v>
      </c>
      <c r="J48" s="132">
        <f>'Effluent Concentration'!AL48*HRT!D48/1000</f>
        <v>59.453318257359221</v>
      </c>
      <c r="K48" s="132">
        <f>'Effluent Concentration'!AM48*HRT!D48/1000</f>
        <v>1.7013266102207192</v>
      </c>
      <c r="L48" s="132">
        <f>'Effluent Concentration'!AN48*HRT!D48/1000</f>
        <v>0.81450252043682247</v>
      </c>
      <c r="M48" s="132">
        <f>'Effluent Concentration'!AO48*HRT!D48/1000</f>
        <v>148.80799760752936</v>
      </c>
      <c r="N48" s="132">
        <f>'Effluent Concentration'!AP48*HRT!D48/1000</f>
        <v>1.1349153050394591</v>
      </c>
      <c r="O48" s="132">
        <f>'Effluent Concentration'!AQ48*HRT!D48/1000</f>
        <v>12.175921474746154</v>
      </c>
      <c r="P48" s="132">
        <f>'Effluent Concentration'!AR48*HRT!D48/1000</f>
        <v>0.96067206208338607</v>
      </c>
      <c r="Q48" s="132">
        <f>'Effluent Concentration'!AS48*HRT!D48/1000</f>
        <v>0.13412104158553126</v>
      </c>
      <c r="R48" s="132">
        <f>'Effluent Concentration'!AT48*HRT!D48/1000</f>
        <v>0.87852798357508399</v>
      </c>
      <c r="S48" s="132">
        <f>Gas!S48</f>
        <v>2.3215375659998547</v>
      </c>
      <c r="T48" s="132">
        <f>Gas!W48</f>
        <v>5.4333857927656194E-3</v>
      </c>
      <c r="U48" s="135">
        <f>Gas!V48</f>
        <v>150.73837927370101</v>
      </c>
      <c r="V48" s="138">
        <f>'Influent Concentration'!Y48*HRT!B48/1000</f>
        <v>763.44762344789058</v>
      </c>
      <c r="W48" s="138">
        <f>'Influent Concentration'!Z48*HRT!B48/1000</f>
        <v>71.849673677688983</v>
      </c>
      <c r="X48" s="138">
        <f>'Influent Concentration'!AA48*HRT!B48/1000</f>
        <v>316.83801136934142</v>
      </c>
      <c r="Y48" s="138">
        <f>'Influent Concentration'!AB48*HRT!B48/1000</f>
        <v>0</v>
      </c>
      <c r="Z48" s="138">
        <f>'Influent Concentration'!AC48*HRT!B48/1000</f>
        <v>13.922551712372782</v>
      </c>
      <c r="AA48" s="139">
        <f>'Effluent Concentration'!AV48*HRT!D48/1000</f>
        <v>0</v>
      </c>
      <c r="AB48" s="139">
        <f>'Effluent Concentration'!AW48*HRT!D48/1000</f>
        <v>0</v>
      </c>
      <c r="AC48" s="139">
        <f>'Effluent Concentration'!AX48*HRT!D48/1000</f>
        <v>237.81327302943689</v>
      </c>
      <c r="AD48" s="139">
        <f>'Effluent Concentration'!AY48*HRT!D48/1000</f>
        <v>7.9395241810300234</v>
      </c>
      <c r="AE48" s="139">
        <f>'Effluent Concentration'!AZ48*HRT!D48/1000</f>
        <v>4.0725126021841129</v>
      </c>
      <c r="AF48" s="139">
        <f>'Effluent Concentration'!BA48*HRT!D48/1000</f>
        <v>744.03998803764682</v>
      </c>
      <c r="AG48" s="139">
        <f>'Effluent Concentration'!BB48*HRT!D48/1000</f>
        <v>5.9015595862051873</v>
      </c>
      <c r="AH48" s="139">
        <f>'Effluent Concentration'!BC48*HRT!D48/1000</f>
        <v>64.938247865312817</v>
      </c>
      <c r="AI48" s="139">
        <f>'Effluent Concentration'!BD48*HRT!D48/1000</f>
        <v>4.3230242793752378</v>
      </c>
      <c r="AJ48" s="139">
        <f>'Effluent Concentration'!BE48*HRT!D48/1000</f>
        <v>0.60354468713489073</v>
      </c>
      <c r="AK48" s="139">
        <f>'Effluent Concentration'!BF48*HRT!D48/1000</f>
        <v>3.514111934300336</v>
      </c>
      <c r="AL48" s="139">
        <f>Gas!S48*Constants!$E$17</f>
        <v>4.6430751319997094</v>
      </c>
      <c r="AM48" s="139">
        <f>Gas!W48*Constants!$E$19</f>
        <v>4.3467086342124955E-2</v>
      </c>
    </row>
    <row r="49" spans="1:39">
      <c r="A49" s="58">
        <f>Rawdata!Y51</f>
        <v>100.14930555555475</v>
      </c>
      <c r="B49" s="107">
        <f>'Influent Concentration'!S49*HRT!B49/1000</f>
        <v>218.50963130409679</v>
      </c>
      <c r="C49" s="125">
        <f>'Influent Concentration'!T49*HRT!B49/1000</f>
        <v>20.56440444955172</v>
      </c>
      <c r="D49" s="107">
        <f>'Influent Concentration'!U49*HRT!B49/1000</f>
        <v>102.01901779013647</v>
      </c>
      <c r="E49" s="107">
        <f>'Influent Concentration'!V49*HRT!B49/1000</f>
        <v>0</v>
      </c>
      <c r="F49" s="125">
        <f>'Influent Concentration'!W49*HRT!B49/1000</f>
        <v>3.9616658322126184</v>
      </c>
      <c r="G49" s="125">
        <f>Gas!Y49-Gas!U49</f>
        <v>139.08874567132921</v>
      </c>
      <c r="H49" s="132">
        <f>'Effluent Concentration'!AJ49*HRT!D49/1000</f>
        <v>0.31341176796436954</v>
      </c>
      <c r="I49" s="132">
        <f>'Effluent Concentration'!AK49*HRT!D49/1000</f>
        <v>0</v>
      </c>
      <c r="J49" s="132">
        <f>'Effluent Concentration'!AL49*HRT!D49/1000</f>
        <v>76.504824335454416</v>
      </c>
      <c r="K49" s="132">
        <f>'Effluent Concentration'!AM49*HRT!D49/1000</f>
        <v>2.2367190242893149</v>
      </c>
      <c r="L49" s="132">
        <f>'Effluent Concentration'!AN49*HRT!D49/1000</f>
        <v>0.9831973664679996</v>
      </c>
      <c r="M49" s="132">
        <f>'Effluent Concentration'!AO49*HRT!D49/1000</f>
        <v>202.94442148491854</v>
      </c>
      <c r="N49" s="132">
        <f>'Effluent Concentration'!AP49*HRT!D49/1000</f>
        <v>1.7166517921969464</v>
      </c>
      <c r="O49" s="132">
        <f>'Effluent Concentration'!AQ49*HRT!D49/1000</f>
        <v>12.879459874165226</v>
      </c>
      <c r="P49" s="132">
        <f>'Effluent Concentration'!AR49*HRT!D49/1000</f>
        <v>0.49972429338350949</v>
      </c>
      <c r="Q49" s="132">
        <f>'Effluent Concentration'!AS49*HRT!D49/1000</f>
        <v>0.271532346051921</v>
      </c>
      <c r="R49" s="132">
        <f>'Effluent Concentration'!AT49*HRT!D49/1000</f>
        <v>0.99985789656935498</v>
      </c>
      <c r="S49" s="132">
        <f>Gas!S49</f>
        <v>2.9572376825938118</v>
      </c>
      <c r="T49" s="132">
        <f>Gas!W49</f>
        <v>5.914475365187623E-3</v>
      </c>
      <c r="U49" s="135">
        <f>Gas!V49</f>
        <v>151.54958542053731</v>
      </c>
      <c r="V49" s="138">
        <f>'Influent Concentration'!Y49*HRT!B49/1000</f>
        <v>983.29334086843562</v>
      </c>
      <c r="W49" s="138">
        <f>'Influent Concentration'!Z49*HRT!B49/1000</f>
        <v>92.539820022982752</v>
      </c>
      <c r="X49" s="138">
        <f>'Influent Concentration'!AA49*HRT!B49/1000</f>
        <v>408.07607116054589</v>
      </c>
      <c r="Y49" s="138">
        <f>'Influent Concentration'!AB49*HRT!B49/1000</f>
        <v>0</v>
      </c>
      <c r="Z49" s="138">
        <f>'Influent Concentration'!AC49*HRT!B49/1000</f>
        <v>17.931750608962375</v>
      </c>
      <c r="AA49" s="139">
        <f>'Effluent Concentration'!AV49*HRT!D49/1000</f>
        <v>1.880470607786217</v>
      </c>
      <c r="AB49" s="139">
        <f>'Effluent Concentration'!AW49*HRT!D49/1000</f>
        <v>0</v>
      </c>
      <c r="AC49" s="139">
        <f>'Effluent Concentration'!AX49*HRT!D49/1000</f>
        <v>306.01929734181766</v>
      </c>
      <c r="AD49" s="139">
        <f>'Effluent Concentration'!AY49*HRT!D49/1000</f>
        <v>10.438022113350135</v>
      </c>
      <c r="AE49" s="139">
        <f>'Effluent Concentration'!AZ49*HRT!D49/1000</f>
        <v>4.915986832339998</v>
      </c>
      <c r="AF49" s="139">
        <f>'Effluent Concentration'!BA49*HRT!D49/1000</f>
        <v>1014.7221074245928</v>
      </c>
      <c r="AG49" s="139">
        <f>'Effluent Concentration'!BB49*HRT!D49/1000</f>
        <v>8.9265893194241208</v>
      </c>
      <c r="AH49" s="139">
        <f>'Effluent Concentration'!BC49*HRT!D49/1000</f>
        <v>68.69045266221454</v>
      </c>
      <c r="AI49" s="139">
        <f>'Effluent Concentration'!BD49*HRT!D49/1000</f>
        <v>2.2487593202257923</v>
      </c>
      <c r="AJ49" s="139">
        <f>'Effluent Concentration'!BE49*HRT!D49/1000</f>
        <v>1.2218955572336445</v>
      </c>
      <c r="AK49" s="139">
        <f>'Effluent Concentration'!BF49*HRT!D49/1000</f>
        <v>3.9994315862774199</v>
      </c>
      <c r="AL49" s="139">
        <f>Gas!S49*Constants!$E$17</f>
        <v>5.9144753651876236</v>
      </c>
      <c r="AM49" s="139">
        <f>Gas!W49*Constants!$E$19</f>
        <v>4.7315802921500984E-2</v>
      </c>
    </row>
    <row r="50" spans="1:39">
      <c r="A50" s="58">
        <f>Rawdata!Y52</f>
        <v>103.13680555555766</v>
      </c>
      <c r="B50" s="107">
        <f>'Influent Concentration'!S50*HRT!B50/1000</f>
        <v>187.14828154529005</v>
      </c>
      <c r="C50" s="125">
        <f>'Influent Concentration'!T50*HRT!B50/1000</f>
        <v>19.091975032435034</v>
      </c>
      <c r="D50" s="107">
        <f>'Influent Concentration'!U50*HRT!B50/1000</f>
        <v>89.690984638392962</v>
      </c>
      <c r="E50" s="107">
        <f>'Influent Concentration'!V50*HRT!B50/1000</f>
        <v>0</v>
      </c>
      <c r="F50" s="125">
        <f>'Influent Concentration'!W50*HRT!B50/1000</f>
        <v>3.3538084825347227</v>
      </c>
      <c r="G50" s="125">
        <f>Gas!Y50-Gas!U50</f>
        <v>138.69362079388111</v>
      </c>
      <c r="H50" s="132">
        <f>'Effluent Concentration'!AJ50*HRT!D50/1000</f>
        <v>0.39941538122794251</v>
      </c>
      <c r="I50" s="132">
        <f>'Effluent Concentration'!AK50*HRT!D50/1000</f>
        <v>0</v>
      </c>
      <c r="J50" s="132">
        <f>'Effluent Concentration'!AL50*HRT!D50/1000</f>
        <v>65.701994781132996</v>
      </c>
      <c r="K50" s="132">
        <f>'Effluent Concentration'!AM50*HRT!D50/1000</f>
        <v>2.1570167273626391</v>
      </c>
      <c r="L50" s="132">
        <f>'Effluent Concentration'!AN50*HRT!D50/1000</f>
        <v>1.077138172186721</v>
      </c>
      <c r="M50" s="132">
        <f>'Effluent Concentration'!AO50*HRT!D50/1000</f>
        <v>167.39606492248737</v>
      </c>
      <c r="N50" s="132">
        <f>'Effluent Concentration'!AP50*HRT!D50/1000</f>
        <v>1.5171802940449566</v>
      </c>
      <c r="O50" s="132">
        <f>'Effluent Concentration'!AQ50*HRT!D50/1000</f>
        <v>9.6543379784822445</v>
      </c>
      <c r="P50" s="132">
        <f>'Effluent Concentration'!AR50*HRT!D50/1000</f>
        <v>0.39628774201358763</v>
      </c>
      <c r="Q50" s="132">
        <f>'Effluent Concentration'!AS50*HRT!D50/1000</f>
        <v>0.25872933404784693</v>
      </c>
      <c r="R50" s="132">
        <f>'Effluent Concentration'!AT50*HRT!D50/1000</f>
        <v>0.84179031934339843</v>
      </c>
      <c r="S50" s="132">
        <f>Gas!S50</f>
        <v>2.7561542812126798</v>
      </c>
      <c r="T50" s="132">
        <f>Gas!W50</f>
        <v>7.8747265177505129E-3</v>
      </c>
      <c r="U50" s="135">
        <f>Gas!V50</f>
        <v>151.87542397864684</v>
      </c>
      <c r="V50" s="138">
        <f>'Influent Concentration'!Y50*HRT!B50/1000</f>
        <v>842.16726695380532</v>
      </c>
      <c r="W50" s="138">
        <f>'Influent Concentration'!Z50*HRT!B50/1000</f>
        <v>85.913887645957658</v>
      </c>
      <c r="X50" s="138">
        <f>'Influent Concentration'!AA50*HRT!B50/1000</f>
        <v>358.76393855357185</v>
      </c>
      <c r="Y50" s="138">
        <f>'Influent Concentration'!AB50*HRT!B50/1000</f>
        <v>0</v>
      </c>
      <c r="Z50" s="138">
        <f>'Influent Concentration'!AC50*HRT!B50/1000</f>
        <v>15.180396289367692</v>
      </c>
      <c r="AA50" s="139">
        <f>'Effluent Concentration'!AV50*HRT!D50/1000</f>
        <v>2.3964922873676553</v>
      </c>
      <c r="AB50" s="139">
        <f>'Effluent Concentration'!AW50*HRT!D50/1000</f>
        <v>0</v>
      </c>
      <c r="AC50" s="139">
        <f>'Effluent Concentration'!AX50*HRT!D50/1000</f>
        <v>262.80797912453198</v>
      </c>
      <c r="AD50" s="139">
        <f>'Effluent Concentration'!AY50*HRT!D50/1000</f>
        <v>10.066078061025648</v>
      </c>
      <c r="AE50" s="139">
        <f>'Effluent Concentration'!AZ50*HRT!D50/1000</f>
        <v>5.3856908609336047</v>
      </c>
      <c r="AF50" s="139">
        <f>'Effluent Concentration'!BA50*HRT!D50/1000</f>
        <v>836.98032461243679</v>
      </c>
      <c r="AG50" s="139">
        <f>'Effluent Concentration'!BB50*HRT!D50/1000</f>
        <v>7.8893375290337735</v>
      </c>
      <c r="AH50" s="139">
        <f>'Effluent Concentration'!BC50*HRT!D50/1000</f>
        <v>51.489802551905306</v>
      </c>
      <c r="AI50" s="139">
        <f>'Effluent Concentration'!BD50*HRT!D50/1000</f>
        <v>1.7832948390611441</v>
      </c>
      <c r="AJ50" s="139">
        <f>'Effluent Concentration'!BE50*HRT!D50/1000</f>
        <v>1.1642820032153112</v>
      </c>
      <c r="AK50" s="139">
        <f>'Effluent Concentration'!BF50*HRT!D50/1000</f>
        <v>3.3671612773735937</v>
      </c>
      <c r="AL50" s="139">
        <f>Gas!S50*Constants!$E$17</f>
        <v>5.5123085624253596</v>
      </c>
      <c r="AM50" s="139">
        <f>Gas!W50*Constants!$E$19</f>
        <v>6.2997812142004103E-2</v>
      </c>
    </row>
    <row r="51" spans="1:39">
      <c r="A51" s="58">
        <f>Rawdata!Y53</f>
        <v>105.14166666667006</v>
      </c>
      <c r="B51" s="107">
        <f>'Influent Concentration'!S51*HRT!B51/1000</f>
        <v>184.37437982186128</v>
      </c>
      <c r="C51" s="125">
        <f>'Influent Concentration'!T51*HRT!B51/1000</f>
        <v>18.808994809433013</v>
      </c>
      <c r="D51" s="107">
        <f>'Influent Concentration'!U51*HRT!B51/1000</f>
        <v>88.361589707217732</v>
      </c>
      <c r="E51" s="107">
        <f>'Influent Concentration'!V51*HRT!B51/1000</f>
        <v>0</v>
      </c>
      <c r="F51" s="125">
        <f>'Influent Concentration'!W51*HRT!B51/1000</f>
        <v>3.3040985143055899</v>
      </c>
      <c r="G51" s="125">
        <f>Gas!Y51-Gas!U51</f>
        <v>146.54216507173328</v>
      </c>
      <c r="H51" s="132">
        <f>'Effluent Concentration'!AJ51*HRT!D51/1000</f>
        <v>0.7621382033133004</v>
      </c>
      <c r="I51" s="132">
        <f>'Effluent Concentration'!AK51*HRT!D51/1000</f>
        <v>0</v>
      </c>
      <c r="J51" s="132">
        <f>'Effluent Concentration'!AL51*HRT!D51/1000</f>
        <v>67.985226074405688</v>
      </c>
      <c r="K51" s="132">
        <f>'Effluent Concentration'!AM51*HRT!D51/1000</f>
        <v>2.113454384402992</v>
      </c>
      <c r="L51" s="132">
        <f>'Effluent Concentration'!AN51*HRT!D51/1000</f>
        <v>0.97454653012826753</v>
      </c>
      <c r="M51" s="132">
        <f>'Effluent Concentration'!AO51*HRT!D51/1000</f>
        <v>168.44495358528144</v>
      </c>
      <c r="N51" s="132">
        <f>'Effluent Concentration'!AP51*HRT!D51/1000</f>
        <v>1.569427366133912</v>
      </c>
      <c r="O51" s="132">
        <f>'Effluent Concentration'!AQ51*HRT!D51/1000</f>
        <v>8.4763399336383625</v>
      </c>
      <c r="P51" s="132">
        <f>'Effluent Concentration'!AR51*HRT!D51/1000</f>
        <v>0</v>
      </c>
      <c r="Q51" s="132">
        <f>'Effluent Concentration'!AS51*HRT!D51/1000</f>
        <v>0.17288493932780757</v>
      </c>
      <c r="R51" s="132">
        <f>'Effluent Concentration'!AT51*HRT!D51/1000</f>
        <v>0.62754554162952658</v>
      </c>
      <c r="S51" s="132">
        <f>Gas!S51</f>
        <v>9.0659960135656412</v>
      </c>
      <c r="T51" s="132">
        <f>Gas!W51</f>
        <v>8.4219635098697204E-3</v>
      </c>
      <c r="U51" s="135">
        <f>Gas!V51</f>
        <v>156.01950589680763</v>
      </c>
      <c r="V51" s="138">
        <f>'Influent Concentration'!Y51*HRT!B51/1000</f>
        <v>829.6847091983758</v>
      </c>
      <c r="W51" s="138">
        <f>'Influent Concentration'!Z51*HRT!B51/1000</f>
        <v>84.640476642448576</v>
      </c>
      <c r="X51" s="138">
        <f>'Influent Concentration'!AA51*HRT!B51/1000</f>
        <v>353.44635882887093</v>
      </c>
      <c r="Y51" s="138">
        <f>'Influent Concentration'!AB51*HRT!B51/1000</f>
        <v>0</v>
      </c>
      <c r="Z51" s="138">
        <f>'Influent Concentration'!AC51*HRT!B51/1000</f>
        <v>14.955393275277933</v>
      </c>
      <c r="AA51" s="139">
        <f>'Effluent Concentration'!AV51*HRT!D51/1000</f>
        <v>4.5728292198798028</v>
      </c>
      <c r="AB51" s="139">
        <f>'Effluent Concentration'!AW51*HRT!D51/1000</f>
        <v>0</v>
      </c>
      <c r="AC51" s="139">
        <f>'Effluent Concentration'!AX51*HRT!D51/1000</f>
        <v>271.94090429762275</v>
      </c>
      <c r="AD51" s="139">
        <f>'Effluent Concentration'!AY51*HRT!D51/1000</f>
        <v>9.8627871272139647</v>
      </c>
      <c r="AE51" s="139">
        <f>'Effluent Concentration'!AZ51*HRT!D51/1000</f>
        <v>4.8727326506413373</v>
      </c>
      <c r="AF51" s="139">
        <f>'Effluent Concentration'!BA51*HRT!D51/1000</f>
        <v>842.22476792640725</v>
      </c>
      <c r="AG51" s="139">
        <f>'Effluent Concentration'!BB51*HRT!D51/1000</f>
        <v>8.1610223038963436</v>
      </c>
      <c r="AH51" s="139">
        <f>'Effluent Concentration'!BC51*HRT!D51/1000</f>
        <v>45.207146312737947</v>
      </c>
      <c r="AI51" s="139">
        <f>'Effluent Concentration'!BD51*HRT!D51/1000</f>
        <v>0</v>
      </c>
      <c r="AJ51" s="139">
        <f>'Effluent Concentration'!BE51*HRT!D51/1000</f>
        <v>0.77798222697513408</v>
      </c>
      <c r="AK51" s="139">
        <f>'Effluent Concentration'!BF51*HRT!D51/1000</f>
        <v>2.5101821665181063</v>
      </c>
      <c r="AL51" s="139">
        <f>Gas!S51*Constants!$E$17</f>
        <v>18.131992027131282</v>
      </c>
      <c r="AM51" s="139">
        <f>Gas!W51*Constants!$E$19</f>
        <v>6.7375708078957763E-2</v>
      </c>
    </row>
    <row r="52" spans="1:39">
      <c r="A52" s="58">
        <f>Rawdata!Y54</f>
        <v>107.07916666667006</v>
      </c>
      <c r="B52" s="107">
        <f>'Influent Concentration'!S52*HRT!B52/1000</f>
        <v>167.84410527945008</v>
      </c>
      <c r="C52" s="125">
        <f>'Influent Concentration'!T52*HRT!B52/1000</f>
        <v>17.122655045919682</v>
      </c>
      <c r="D52" s="107">
        <f>'Influent Concentration'!U52*HRT!B52/1000</f>
        <v>80.439440554632398</v>
      </c>
      <c r="E52" s="107">
        <f>'Influent Concentration'!V52*HRT!B52/1000</f>
        <v>0</v>
      </c>
      <c r="F52" s="125">
        <f>'Influent Concentration'!W52*HRT!B52/1000</f>
        <v>3.0078661657037138</v>
      </c>
      <c r="G52" s="125">
        <f>Gas!Y52-Gas!U52</f>
        <v>148.7847831134402</v>
      </c>
      <c r="H52" s="132">
        <f>'Effluent Concentration'!AJ52*HRT!D52/1000</f>
        <v>0.90428874733508291</v>
      </c>
      <c r="I52" s="132">
        <f>'Effluent Concentration'!AK52*HRT!D52/1000</f>
        <v>0</v>
      </c>
      <c r="J52" s="132">
        <f>'Effluent Concentration'!AL52*HRT!D52/1000</f>
        <v>61.777227993572041</v>
      </c>
      <c r="K52" s="132">
        <f>'Effluent Concentration'!AM52*HRT!D52/1000</f>
        <v>1.9376316228906405</v>
      </c>
      <c r="L52" s="132">
        <f>'Effluent Concentration'!AN52*HRT!D52/1000</f>
        <v>1.072216951833699</v>
      </c>
      <c r="M52" s="132">
        <f>'Effluent Concentration'!AO52*HRT!D52/1000</f>
        <v>152.04115507404197</v>
      </c>
      <c r="N52" s="132">
        <f>'Effluent Concentration'!AP52*HRT!D52/1000</f>
        <v>1.4848223791665291</v>
      </c>
      <c r="O52" s="132">
        <f>'Effluent Concentration'!AQ52*HRT!D52/1000</f>
        <v>5.5325470777250523</v>
      </c>
      <c r="P52" s="132">
        <f>'Effluent Concentration'!AR52*HRT!D52/1000</f>
        <v>0.22603352073761737</v>
      </c>
      <c r="Q52" s="132">
        <f>'Effluent Concentration'!AS52*HRT!D52/1000</f>
        <v>0.14780146411403552</v>
      </c>
      <c r="R52" s="132">
        <f>'Effluent Concentration'!AT52*HRT!D52/1000</f>
        <v>0.61097517661485667</v>
      </c>
      <c r="S52" s="132">
        <f>Gas!S52</f>
        <v>9.6754537127519242</v>
      </c>
      <c r="T52" s="132">
        <f>Gas!W52</f>
        <v>5.9237471710726066E-3</v>
      </c>
      <c r="U52" s="135">
        <f>Gas!V52</f>
        <v>156.81060694954735</v>
      </c>
      <c r="V52" s="138">
        <f>'Influent Concentration'!Y52*HRT!B52/1000</f>
        <v>755.29847375752536</v>
      </c>
      <c r="W52" s="138">
        <f>'Influent Concentration'!Z52*HRT!B52/1000</f>
        <v>77.051947706638558</v>
      </c>
      <c r="X52" s="138">
        <f>'Influent Concentration'!AA52*HRT!B52/1000</f>
        <v>321.75776221852959</v>
      </c>
      <c r="Y52" s="138">
        <f>'Influent Concentration'!AB52*HRT!B52/1000</f>
        <v>0</v>
      </c>
      <c r="Z52" s="138">
        <f>'Influent Concentration'!AC52*HRT!B52/1000</f>
        <v>13.614552118448385</v>
      </c>
      <c r="AA52" s="139">
        <f>'Effluent Concentration'!AV52*HRT!D52/1000</f>
        <v>5.4257324840104975</v>
      </c>
      <c r="AB52" s="139">
        <f>'Effluent Concentration'!AW52*HRT!D52/1000</f>
        <v>0</v>
      </c>
      <c r="AC52" s="139">
        <f>'Effluent Concentration'!AX52*HRT!D52/1000</f>
        <v>247.10891197428816</v>
      </c>
      <c r="AD52" s="139">
        <f>'Effluent Concentration'!AY52*HRT!D52/1000</f>
        <v>9.0422809068229917</v>
      </c>
      <c r="AE52" s="139">
        <f>'Effluent Concentration'!AZ52*HRT!D52/1000</f>
        <v>5.3610847591684951</v>
      </c>
      <c r="AF52" s="139">
        <f>'Effluent Concentration'!BA52*HRT!D52/1000</f>
        <v>760.20577537020995</v>
      </c>
      <c r="AG52" s="139">
        <f>'Effluent Concentration'!BB52*HRT!D52/1000</f>
        <v>7.7210763716659523</v>
      </c>
      <c r="AH52" s="139">
        <f>'Effluent Concentration'!BC52*HRT!D52/1000</f>
        <v>29.506917747866943</v>
      </c>
      <c r="AI52" s="139">
        <f>'Effluent Concentration'!BD52*HRT!D52/1000</f>
        <v>1.0171508433192782</v>
      </c>
      <c r="AJ52" s="139">
        <f>'Effluent Concentration'!BE52*HRT!D52/1000</f>
        <v>0.66510658851315974</v>
      </c>
      <c r="AK52" s="139">
        <f>'Effluent Concentration'!BF52*HRT!D52/1000</f>
        <v>2.4439007064594267</v>
      </c>
      <c r="AL52" s="139">
        <f>Gas!S52*Constants!$E$17</f>
        <v>19.350907425503848</v>
      </c>
      <c r="AM52" s="139">
        <f>Gas!W52*Constants!$E$19</f>
        <v>4.7389977368580853E-2</v>
      </c>
    </row>
    <row r="53" spans="1:39">
      <c r="A53" s="58">
        <f>Rawdata!Y55</f>
        <v>110.29652777777665</v>
      </c>
      <c r="B53" s="107">
        <f>'Influent Concentration'!S53*HRT!B53/1000</f>
        <v>214.41708045183879</v>
      </c>
      <c r="C53" s="125">
        <f>'Influent Concentration'!T53*HRT!B53/1000</f>
        <v>21.873807831483905</v>
      </c>
      <c r="D53" s="107">
        <f>'Influent Concentration'!U53*HRT!B53/1000</f>
        <v>102.75958138766534</v>
      </c>
      <c r="E53" s="107">
        <f>'Influent Concentration'!V53*HRT!B53/1000</f>
        <v>0</v>
      </c>
      <c r="F53" s="125">
        <f>'Influent Concentration'!W53*HRT!B53/1000</f>
        <v>3.8424815728039738</v>
      </c>
      <c r="G53" s="125">
        <f>Gas!Y53-Gas!U53</f>
        <v>140.25776510651326</v>
      </c>
      <c r="H53" s="132">
        <f>'Effluent Concentration'!AJ53*HRT!D53/1000</f>
        <v>1.0621437756391603</v>
      </c>
      <c r="I53" s="132">
        <f>'Effluent Concentration'!AK53*HRT!D53/1000</f>
        <v>0</v>
      </c>
      <c r="J53" s="132">
        <f>'Effluent Concentration'!AL53*HRT!D53/1000</f>
        <v>79.848283161511247</v>
      </c>
      <c r="K53" s="132">
        <f>'Effluent Concentration'!AM53*HRT!D53/1000</f>
        <v>1.0042501045430177</v>
      </c>
      <c r="L53" s="132">
        <f>'Effluent Concentration'!AN53*HRT!D53/1000</f>
        <v>1.4960128244636499</v>
      </c>
      <c r="M53" s="132">
        <f>'Effluent Concentration'!AO53*HRT!D53/1000</f>
        <v>207.31866611342465</v>
      </c>
      <c r="N53" s="132">
        <f>'Effluent Concentration'!AP53*HRT!D53/1000</f>
        <v>2.004412561123516</v>
      </c>
      <c r="O53" s="132">
        <f>'Effluent Concentration'!AQ53*HRT!D53/1000</f>
        <v>4.6765855442427737</v>
      </c>
      <c r="P53" s="132">
        <f>'Effluent Concentration'!AR53*HRT!D53/1000</f>
        <v>0.57979367613977684</v>
      </c>
      <c r="Q53" s="132">
        <f>'Effluent Concentration'!AS53*HRT!D53/1000</f>
        <v>0.13919227231912926</v>
      </c>
      <c r="R53" s="132">
        <f>'Effluent Concentration'!AT53*HRT!D53/1000</f>
        <v>0.79261858418692577</v>
      </c>
      <c r="S53" s="132">
        <f>Gas!S53</f>
        <v>2.9517593498389361</v>
      </c>
      <c r="T53" s="132">
        <f>Gas!W53</f>
        <v>7.3793983745973389E-3</v>
      </c>
      <c r="U53" s="135">
        <f>Gas!V53</f>
        <v>152.60492796929185</v>
      </c>
      <c r="V53" s="138">
        <f>'Influent Concentration'!Y53*HRT!B53/1000</f>
        <v>964.87686203327462</v>
      </c>
      <c r="W53" s="138">
        <f>'Influent Concentration'!Z53*HRT!B53/1000</f>
        <v>98.432135241677557</v>
      </c>
      <c r="X53" s="138">
        <f>'Influent Concentration'!AA53*HRT!B53/1000</f>
        <v>411.03832555066134</v>
      </c>
      <c r="Y53" s="138">
        <f>'Influent Concentration'!AB53*HRT!B53/1000</f>
        <v>0</v>
      </c>
      <c r="Z53" s="138">
        <f>'Influent Concentration'!AC53*HRT!B53/1000</f>
        <v>17.392285013744303</v>
      </c>
      <c r="AA53" s="139">
        <f>'Effluent Concentration'!AV53*HRT!D53/1000</f>
        <v>6.3728626538349618</v>
      </c>
      <c r="AB53" s="139">
        <f>'Effluent Concentration'!AW53*HRT!D53/1000</f>
        <v>0</v>
      </c>
      <c r="AC53" s="139">
        <f>'Effluent Concentration'!AX53*HRT!D53/1000</f>
        <v>319.39313264604499</v>
      </c>
      <c r="AD53" s="139">
        <f>'Effluent Concentration'!AY53*HRT!D53/1000</f>
        <v>4.6865004878674164</v>
      </c>
      <c r="AE53" s="139">
        <f>'Effluent Concentration'!AZ53*HRT!D53/1000</f>
        <v>7.4800641223182494</v>
      </c>
      <c r="AF53" s="139">
        <f>'Effluent Concentration'!BA53*HRT!D53/1000</f>
        <v>1036.5933305671233</v>
      </c>
      <c r="AG53" s="139">
        <f>'Effluent Concentration'!BB53*HRT!D53/1000</f>
        <v>10.422945317842283</v>
      </c>
      <c r="AH53" s="139">
        <f>'Effluent Concentration'!BC53*HRT!D53/1000</f>
        <v>24.941789569294798</v>
      </c>
      <c r="AI53" s="139">
        <f>'Effluent Concentration'!BD53*HRT!D53/1000</f>
        <v>2.6090715426289957</v>
      </c>
      <c r="AJ53" s="139">
        <f>'Effluent Concentration'!BE53*HRT!D53/1000</f>
        <v>0.62636522543608153</v>
      </c>
      <c r="AK53" s="139">
        <f>'Effluent Concentration'!BF53*HRT!D53/1000</f>
        <v>3.1704743367477031</v>
      </c>
      <c r="AL53" s="139">
        <f>Gas!S53*Constants!$E$17</f>
        <v>5.9035186996778721</v>
      </c>
      <c r="AM53" s="139">
        <f>Gas!W53*Constants!$E$19</f>
        <v>5.9035186996778712E-2</v>
      </c>
    </row>
    <row r="54" spans="1:39">
      <c r="A54" s="58">
        <f>Rawdata!Y56</f>
        <v>112.15347222222044</v>
      </c>
      <c r="B54" s="107">
        <f>'Influent Concentration'!S54*HRT!B54/1000</f>
        <v>221.98883928676824</v>
      </c>
      <c r="C54" s="125">
        <f>'Influent Concentration'!T54*HRT!B54/1000</f>
        <v>20.252927536747613</v>
      </c>
      <c r="D54" s="107">
        <f>'Influent Concentration'!U54*HRT!B54/1000</f>
        <v>106.27070203037717</v>
      </c>
      <c r="E54" s="107">
        <f>'Influent Concentration'!V54*HRT!B54/1000</f>
        <v>0</v>
      </c>
      <c r="F54" s="125">
        <f>'Influent Concentration'!W54*HRT!B54/1000</f>
        <v>3.8518820345067351</v>
      </c>
      <c r="G54" s="125">
        <f>Gas!Y54-Gas!U54</f>
        <v>131.99833066049177</v>
      </c>
      <c r="H54" s="132">
        <f>'Effluent Concentration'!AJ54*HRT!D54/1000</f>
        <v>1.5838342967888377</v>
      </c>
      <c r="I54" s="132">
        <f>'Effluent Concentration'!AK54*HRT!D54/1000</f>
        <v>0.2881184567588545</v>
      </c>
      <c r="J54" s="132">
        <f>'Effluent Concentration'!AL54*HRT!D54/1000</f>
        <v>76.363270029925616</v>
      </c>
      <c r="K54" s="132">
        <f>'Effluent Concentration'!AM54*HRT!D54/1000</f>
        <v>2.5178934657562264</v>
      </c>
      <c r="L54" s="132">
        <f>'Effluent Concentration'!AN54*HRT!D54/1000</f>
        <v>1.1815603515260549</v>
      </c>
      <c r="M54" s="132">
        <f>'Effluent Concentration'!AO54*HRT!D54/1000</f>
        <v>204.0968778148852</v>
      </c>
      <c r="N54" s="132">
        <f>'Effluent Concentration'!AP54*HRT!D54/1000</f>
        <v>2.0855504896057955</v>
      </c>
      <c r="O54" s="132">
        <f>'Effluent Concentration'!AQ54*HRT!D54/1000</f>
        <v>3.6366676968926659</v>
      </c>
      <c r="P54" s="132">
        <f>'Effluent Concentration'!AR54*HRT!D54/1000</f>
        <v>0.52992869381563334</v>
      </c>
      <c r="Q54" s="132">
        <f>'Effluent Concentration'!AS54*HRT!D54/1000</f>
        <v>9.8189748200613589E-2</v>
      </c>
      <c r="R54" s="132">
        <f>'Effluent Concentration'!AT54*HRT!D54/1000</f>
        <v>0.81307884888521009</v>
      </c>
      <c r="S54" s="132">
        <f>Gas!S54</f>
        <v>2.6237470857705252</v>
      </c>
      <c r="T54" s="132">
        <f>Gas!W54</f>
        <v>9.0638535690254502E-3</v>
      </c>
      <c r="U54" s="135">
        <f>Gas!V54</f>
        <v>144.57351235619637</v>
      </c>
      <c r="V54" s="138">
        <f>'Influent Concentration'!Y54*HRT!B54/1000</f>
        <v>998.94977679045701</v>
      </c>
      <c r="W54" s="138">
        <f>'Influent Concentration'!Z54*HRT!B54/1000</f>
        <v>91.138173915364277</v>
      </c>
      <c r="X54" s="138">
        <f>'Influent Concentration'!AA54*HRT!B54/1000</f>
        <v>425.08280812150866</v>
      </c>
      <c r="Y54" s="138">
        <f>'Influent Concentration'!AB54*HRT!B54/1000</f>
        <v>0</v>
      </c>
      <c r="Z54" s="138">
        <f>'Influent Concentration'!AC54*HRT!B54/1000</f>
        <v>17.434834471977855</v>
      </c>
      <c r="AA54" s="139">
        <f>'Effluent Concentration'!AV54*HRT!D54/1000</f>
        <v>9.5030057807330266</v>
      </c>
      <c r="AB54" s="139">
        <f>'Effluent Concentration'!AW54*HRT!D54/1000</f>
        <v>1.728710740553127</v>
      </c>
      <c r="AC54" s="139">
        <f>'Effluent Concentration'!AX54*HRT!D54/1000</f>
        <v>305.45308011970246</v>
      </c>
      <c r="AD54" s="139">
        <f>'Effluent Concentration'!AY54*HRT!D54/1000</f>
        <v>11.750169506862388</v>
      </c>
      <c r="AE54" s="139">
        <f>'Effluent Concentration'!AZ54*HRT!D54/1000</f>
        <v>5.9078017576302742</v>
      </c>
      <c r="AF54" s="139">
        <f>'Effluent Concentration'!BA54*HRT!D54/1000</f>
        <v>1020.484389074426</v>
      </c>
      <c r="AG54" s="139">
        <f>'Effluent Concentration'!BB54*HRT!D54/1000</f>
        <v>10.844862545950136</v>
      </c>
      <c r="AH54" s="139">
        <f>'Effluent Concentration'!BC54*HRT!D54/1000</f>
        <v>19.395561050094216</v>
      </c>
      <c r="AI54" s="139">
        <f>'Effluent Concentration'!BD54*HRT!D54/1000</f>
        <v>2.3846791221703501</v>
      </c>
      <c r="AJ54" s="139">
        <f>'Effluent Concentration'!BE54*HRT!D54/1000</f>
        <v>0.44185386690276118</v>
      </c>
      <c r="AK54" s="139">
        <f>'Effluent Concentration'!BF54*HRT!D54/1000</f>
        <v>3.2523153955408404</v>
      </c>
      <c r="AL54" s="139">
        <f>Gas!S54*Constants!$E$17</f>
        <v>5.2474941715410504</v>
      </c>
      <c r="AM54" s="139">
        <f>Gas!W54*Constants!$E$19</f>
        <v>7.2510828552203602E-2</v>
      </c>
    </row>
    <row r="55" spans="1:39">
      <c r="A55" s="58">
        <f>Rawdata!Y57</f>
        <v>113.1916666666657</v>
      </c>
      <c r="B55" s="107">
        <f>'Influent Concentration'!S55*HRT!B55/1000</f>
        <v>246.53051748873906</v>
      </c>
      <c r="C55" s="125">
        <f>'Influent Concentration'!T55*HRT!B55/1000</f>
        <v>22.49196275965182</v>
      </c>
      <c r="D55" s="107">
        <f>'Influent Concentration'!U55*HRT!B55/1000</f>
        <v>118.01931687023368</v>
      </c>
      <c r="E55" s="107">
        <f>'Influent Concentration'!V55*HRT!B55/1000</f>
        <v>180.62311084690444</v>
      </c>
      <c r="F55" s="125">
        <f>'Influent Concentration'!W55*HRT!B55/1000</f>
        <v>4.2777216833221416</v>
      </c>
      <c r="G55" s="125">
        <f>Gas!Y55-Gas!U55</f>
        <v>120.50483932696807</v>
      </c>
      <c r="H55" s="132">
        <f>'Effluent Concentration'!AJ55*HRT!D55/1000</f>
        <v>1.5799819951660976</v>
      </c>
      <c r="I55" s="132">
        <f>'Effluent Concentration'!AK55*HRT!D55/1000</f>
        <v>0.34975712735107573</v>
      </c>
      <c r="J55" s="132">
        <f>'Effluent Concentration'!AL55*HRT!D55/1000</f>
        <v>84.917573944606616</v>
      </c>
      <c r="K55" s="132">
        <f>'Effluent Concentration'!AM55*HRT!D55/1000</f>
        <v>2.5085070086898806</v>
      </c>
      <c r="L55" s="132">
        <f>'Effluent Concentration'!AN55*HRT!D55/1000</f>
        <v>1.1316273486490545</v>
      </c>
      <c r="M55" s="132">
        <f>'Effluent Concentration'!AO55*HRT!D55/1000</f>
        <v>233.86210787181361</v>
      </c>
      <c r="N55" s="132">
        <f>'Effluent Concentration'!AP55*HRT!D55/1000</f>
        <v>2.0990064058783573</v>
      </c>
      <c r="O55" s="132">
        <f>'Effluent Concentration'!AQ55*HRT!D55/1000</f>
        <v>3.650197429360051</v>
      </c>
      <c r="P55" s="132">
        <f>'Effluent Concentration'!AR55*HRT!D55/1000</f>
        <v>0.52916537079022696</v>
      </c>
      <c r="Q55" s="132">
        <f>'Effluent Concentration'!AS55*HRT!D55/1000</f>
        <v>6.6595329621842503E-2</v>
      </c>
      <c r="R55" s="132">
        <f>'Effluent Concentration'!AT55*HRT!D55/1000</f>
        <v>0.92770319791835631</v>
      </c>
      <c r="S55" s="132">
        <f>Gas!S55</f>
        <v>3.0651992179343832</v>
      </c>
      <c r="T55" s="132">
        <f>Gas!W55</f>
        <v>7.383326583345594E-3</v>
      </c>
      <c r="U55" s="135">
        <f>Gas!V55</f>
        <v>131.16603811410101</v>
      </c>
      <c r="V55" s="138">
        <f>'Influent Concentration'!Y55*HRT!B55/1000</f>
        <v>1109.387328699326</v>
      </c>
      <c r="W55" s="138">
        <f>'Influent Concentration'!Z55*HRT!B55/1000</f>
        <v>101.21383241843317</v>
      </c>
      <c r="X55" s="138">
        <f>'Influent Concentration'!AA55*HRT!B55/1000</f>
        <v>472.07726748093472</v>
      </c>
      <c r="Y55" s="138">
        <f>'Influent Concentration'!AB55*HRT!B55/1000</f>
        <v>1083.7386650814265</v>
      </c>
      <c r="Z55" s="138">
        <f>'Influent Concentration'!AC55*HRT!B55/1000</f>
        <v>19.362319198194957</v>
      </c>
      <c r="AA55" s="139">
        <f>'Effluent Concentration'!AV55*HRT!D55/1000</f>
        <v>9.4798919709965865</v>
      </c>
      <c r="AB55" s="139">
        <f>'Effluent Concentration'!AW55*HRT!D55/1000</f>
        <v>2.0985427641064542</v>
      </c>
      <c r="AC55" s="139">
        <f>'Effluent Concentration'!AX55*HRT!D55/1000</f>
        <v>339.67029577842646</v>
      </c>
      <c r="AD55" s="139">
        <f>'Effluent Concentration'!AY55*HRT!D55/1000</f>
        <v>11.706366040552776</v>
      </c>
      <c r="AE55" s="139">
        <f>'Effluent Concentration'!AZ55*HRT!D55/1000</f>
        <v>5.6581367432452723</v>
      </c>
      <c r="AF55" s="139">
        <f>'Effluent Concentration'!BA55*HRT!D55/1000</f>
        <v>1169.3105393590681</v>
      </c>
      <c r="AG55" s="139">
        <f>'Effluent Concentration'!BB55*HRT!D55/1000</f>
        <v>10.914833310567458</v>
      </c>
      <c r="AH55" s="139">
        <f>'Effluent Concentration'!BC55*HRT!D55/1000</f>
        <v>19.467719623253604</v>
      </c>
      <c r="AI55" s="139">
        <f>'Effluent Concentration'!BD55*HRT!D55/1000</f>
        <v>2.3812441685560217</v>
      </c>
      <c r="AJ55" s="139">
        <f>'Effluent Concentration'!BE55*HRT!D55/1000</f>
        <v>0.29967898329829129</v>
      </c>
      <c r="AK55" s="139">
        <f>'Effluent Concentration'!BF55*HRT!D55/1000</f>
        <v>3.7108127916734253</v>
      </c>
      <c r="AL55" s="139">
        <f>Gas!S55*Constants!$E$17</f>
        <v>6.1303984358687664</v>
      </c>
      <c r="AM55" s="139">
        <f>Gas!W55*Constants!$E$19</f>
        <v>5.9066612666764752E-2</v>
      </c>
    </row>
    <row r="56" spans="1:39">
      <c r="A56" s="58">
        <f>Rawdata!Y58</f>
        <v>114.2770833333343</v>
      </c>
      <c r="B56" s="107">
        <f>'Influent Concentration'!S56*HRT!B56/1000</f>
        <v>195.79312364647603</v>
      </c>
      <c r="C56" s="125">
        <f>'Influent Concentration'!T56*HRT!B56/1000</f>
        <v>17.862987878787042</v>
      </c>
      <c r="D56" s="107">
        <f>'Influent Concentration'!U56*HRT!B56/1000</f>
        <v>93.730264861435629</v>
      </c>
      <c r="E56" s="107">
        <f>'Influent Concentration'!V56*HRT!B56/1000</f>
        <v>143.44983913431523</v>
      </c>
      <c r="F56" s="125">
        <f>'Influent Concentration'!W56*HRT!B56/1000</f>
        <v>3.3973420370001901</v>
      </c>
      <c r="G56" s="125">
        <f>Gas!Y56-Gas!U56</f>
        <v>122.15268825573048</v>
      </c>
      <c r="H56" s="132">
        <f>'Effluent Concentration'!AJ56*HRT!D56/1000</f>
        <v>38.769190833076166</v>
      </c>
      <c r="I56" s="132">
        <f>'Effluent Concentration'!AK56*HRT!D56/1000</f>
        <v>0.34941381564097163</v>
      </c>
      <c r="J56" s="132">
        <f>'Effluent Concentration'!AL56*HRT!D56/1000</f>
        <v>65.659589395156317</v>
      </c>
      <c r="K56" s="132">
        <f>'Effluent Concentration'!AM56*HRT!D56/1000</f>
        <v>1.8989771290431747</v>
      </c>
      <c r="L56" s="132">
        <f>'Effluent Concentration'!AN56*HRT!D56/1000</f>
        <v>0.73928932404419812</v>
      </c>
      <c r="M56" s="132">
        <f>'Effluent Concentration'!AO56*HRT!D56/1000</f>
        <v>176.77031234917058</v>
      </c>
      <c r="N56" s="132">
        <f>'Effluent Concentration'!AP56*HRT!D56/1000</f>
        <v>1.6377311442821514</v>
      </c>
      <c r="O56" s="132">
        <f>'Effluent Concentration'!AQ56*HRT!D56/1000</f>
        <v>2.5487907869436235</v>
      </c>
      <c r="P56" s="132">
        <f>'Effluent Concentration'!AR56*HRT!D56/1000</f>
        <v>0.33546873564870572</v>
      </c>
      <c r="Q56" s="132">
        <f>'Effluent Concentration'!AS56*HRT!D56/1000</f>
        <v>5.0138521731731944E-2</v>
      </c>
      <c r="R56" s="132">
        <f>'Effluent Concentration'!AT56*HRT!D56/1000</f>
        <v>0.73346733805264397</v>
      </c>
      <c r="S56" s="132">
        <f>Gas!S56</f>
        <v>4.1053945170438908</v>
      </c>
      <c r="T56" s="132">
        <f>Gas!W56</f>
        <v>6.1924945229153662E-3</v>
      </c>
      <c r="U56" s="135">
        <f>Gas!V56</f>
        <v>129.83047651935885</v>
      </c>
      <c r="V56" s="138">
        <f>'Influent Concentration'!Y56*HRT!B56/1000</f>
        <v>881.06905640914226</v>
      </c>
      <c r="W56" s="138">
        <f>'Influent Concentration'!Z56*HRT!B56/1000</f>
        <v>80.383445454541686</v>
      </c>
      <c r="X56" s="138">
        <f>'Influent Concentration'!AA56*HRT!B56/1000</f>
        <v>374.92105944574251</v>
      </c>
      <c r="Y56" s="138">
        <f>'Influent Concentration'!AB56*HRT!B56/1000</f>
        <v>860.6990348058913</v>
      </c>
      <c r="Z56" s="138">
        <f>'Influent Concentration'!AC56*HRT!B56/1000</f>
        <v>15.377442904316649</v>
      </c>
      <c r="AA56" s="139">
        <f>'Effluent Concentration'!AV56*HRT!D56/1000</f>
        <v>232.615144998457</v>
      </c>
      <c r="AB56" s="139">
        <f>'Effluent Concentration'!AW56*HRT!D56/1000</f>
        <v>2.0964828938458298</v>
      </c>
      <c r="AC56" s="139">
        <f>'Effluent Concentration'!AX56*HRT!D56/1000</f>
        <v>262.63835758062527</v>
      </c>
      <c r="AD56" s="139">
        <f>'Effluent Concentration'!AY56*HRT!D56/1000</f>
        <v>8.8618932688681493</v>
      </c>
      <c r="AE56" s="139">
        <f>'Effluent Concentration'!AZ56*HRT!D56/1000</f>
        <v>3.6964466202209905</v>
      </c>
      <c r="AF56" s="139">
        <f>'Effluent Concentration'!BA56*HRT!D56/1000</f>
        <v>883.85156174585291</v>
      </c>
      <c r="AG56" s="139">
        <f>'Effluent Concentration'!BB56*HRT!D56/1000</f>
        <v>8.5162019502671864</v>
      </c>
      <c r="AH56" s="139">
        <f>'Effluent Concentration'!BC56*HRT!D56/1000</f>
        <v>13.593550863699324</v>
      </c>
      <c r="AI56" s="139">
        <f>'Effluent Concentration'!BD56*HRT!D56/1000</f>
        <v>1.5096093104191757</v>
      </c>
      <c r="AJ56" s="139">
        <f>'Effluent Concentration'!BE56*HRT!D56/1000</f>
        <v>0.22562334779279375</v>
      </c>
      <c r="AK56" s="139">
        <f>'Effluent Concentration'!BF56*HRT!D56/1000</f>
        <v>2.9338693522105759</v>
      </c>
      <c r="AL56" s="139">
        <f>Gas!S56*Constants!$E$17</f>
        <v>8.2107890340877816</v>
      </c>
      <c r="AM56" s="139">
        <f>Gas!W56*Constants!$E$19</f>
        <v>4.9539956183322929E-2</v>
      </c>
    </row>
    <row r="57" spans="1:39">
      <c r="A57" s="58">
        <f>Rawdata!Y59</f>
        <v>117.28819444444525</v>
      </c>
      <c r="B57" s="107">
        <f>'Influent Concentration'!S57*HRT!B57/1000</f>
        <v>193.17381435440967</v>
      </c>
      <c r="C57" s="125">
        <f>'Influent Concentration'!T57*HRT!B57/1000</f>
        <v>17.624017841108614</v>
      </c>
      <c r="D57" s="107">
        <f>'Influent Concentration'!U57*HRT!B57/1000</f>
        <v>92.476346699617579</v>
      </c>
      <c r="E57" s="107">
        <f>'Influent Concentration'!V57*HRT!B57/1000</f>
        <v>141.5307753306835</v>
      </c>
      <c r="F57" s="125">
        <f>'Influent Concentration'!W57*HRT!B57/1000</f>
        <v>3.3518925881119355</v>
      </c>
      <c r="G57" s="125">
        <f>Gas!Y57-Gas!U57</f>
        <v>118.6883003458945</v>
      </c>
      <c r="H57" s="132">
        <f>'Effluent Concentration'!AJ57*HRT!D57/1000</f>
        <v>92.531595616560224</v>
      </c>
      <c r="I57" s="132">
        <f>'Effluent Concentration'!AK57*HRT!D57/1000</f>
        <v>0.85662511973208499</v>
      </c>
      <c r="J57" s="132">
        <f>'Effluent Concentration'!AL57*HRT!D57/1000</f>
        <v>65.284078667534558</v>
      </c>
      <c r="K57" s="132">
        <f>'Effluent Concentration'!AM57*HRT!D57/1000</f>
        <v>2.0303570489269696</v>
      </c>
      <c r="L57" s="132">
        <f>'Effluent Concentration'!AN57*HRT!D57/1000</f>
        <v>0.52288252565878812</v>
      </c>
      <c r="M57" s="132">
        <f>'Effluent Concentration'!AO57*HRT!D57/1000</f>
        <v>173.76396940926415</v>
      </c>
      <c r="N57" s="132">
        <f>'Effluent Concentration'!AP57*HRT!D57/1000</f>
        <v>1.4310209511573999</v>
      </c>
      <c r="O57" s="132">
        <f>'Effluent Concentration'!AQ57*HRT!D57/1000</f>
        <v>1.5548103138057003</v>
      </c>
      <c r="P57" s="132">
        <f>'Effluent Concentration'!AR57*HRT!D57/1000</f>
        <v>0.48345517992594444</v>
      </c>
      <c r="Q57" s="132">
        <f>'Effluent Concentration'!AS57*HRT!D57/1000</f>
        <v>6.5207516891062745E-2</v>
      </c>
      <c r="R57" s="132">
        <f>'Effluent Concentration'!AT57*HRT!D57/1000</f>
        <v>0.70914971849544683</v>
      </c>
      <c r="S57" s="132">
        <f>Gas!S57</f>
        <v>4.4821201907742436</v>
      </c>
      <c r="T57" s="132">
        <f>Gas!W57</f>
        <v>6.5913532217268291E-3</v>
      </c>
      <c r="U57" s="135">
        <f>Gas!V57</f>
        <v>124.02123728752166</v>
      </c>
      <c r="V57" s="138">
        <f>'Influent Concentration'!Y57*HRT!B57/1000</f>
        <v>869.28216459484349</v>
      </c>
      <c r="W57" s="138">
        <f>'Influent Concentration'!Z57*HRT!B57/1000</f>
        <v>79.308080284988762</v>
      </c>
      <c r="X57" s="138">
        <f>'Influent Concentration'!AA57*HRT!B57/1000</f>
        <v>369.90538679847032</v>
      </c>
      <c r="Y57" s="138">
        <f>'Influent Concentration'!AB57*HRT!B57/1000</f>
        <v>849.18465198410115</v>
      </c>
      <c r="Z57" s="138">
        <f>'Influent Concentration'!AC57*HRT!B57/1000</f>
        <v>15.171724346190864</v>
      </c>
      <c r="AA57" s="139">
        <f>'Effluent Concentration'!AV57*HRT!D57/1000</f>
        <v>555.1895736993614</v>
      </c>
      <c r="AB57" s="139">
        <f>'Effluent Concentration'!AW57*HRT!D57/1000</f>
        <v>5.1397507183925102</v>
      </c>
      <c r="AC57" s="139">
        <f>'Effluent Concentration'!AX57*HRT!D57/1000</f>
        <v>261.13631467013823</v>
      </c>
      <c r="AD57" s="139">
        <f>'Effluent Concentration'!AY57*HRT!D57/1000</f>
        <v>9.4749995616591907</v>
      </c>
      <c r="AE57" s="139">
        <f>'Effluent Concentration'!AZ57*HRT!D57/1000</f>
        <v>2.6144126282939406</v>
      </c>
      <c r="AF57" s="139">
        <f>'Effluent Concentration'!BA57*HRT!D57/1000</f>
        <v>868.81984704632077</v>
      </c>
      <c r="AG57" s="139">
        <f>'Effluent Concentration'!BB57*HRT!D57/1000</f>
        <v>7.441308946018478</v>
      </c>
      <c r="AH57" s="139">
        <f>'Effluent Concentration'!BC57*HRT!D57/1000</f>
        <v>8.2923216736304024</v>
      </c>
      <c r="AI57" s="139">
        <f>'Effluent Concentration'!BD57*HRT!D57/1000</f>
        <v>2.1755483096667501</v>
      </c>
      <c r="AJ57" s="139">
        <f>'Effluent Concentration'!BE57*HRT!D57/1000</f>
        <v>0.29343382600978229</v>
      </c>
      <c r="AK57" s="139">
        <f>'Effluent Concentration'!BF57*HRT!D57/1000</f>
        <v>2.8365988739817873</v>
      </c>
      <c r="AL57" s="139">
        <f>Gas!S57*Constants!$E$17</f>
        <v>8.9642403815484872</v>
      </c>
      <c r="AM57" s="139">
        <f>Gas!W57*Constants!$E$19</f>
        <v>5.2730825773814632E-2</v>
      </c>
    </row>
    <row r="58" spans="1:39">
      <c r="A58" s="58">
        <f>Rawdata!Y60</f>
        <v>119.18194444444816</v>
      </c>
      <c r="B58" s="107">
        <f>'Influent Concentration'!S58*HRT!B58/1000</f>
        <v>212.53134740007914</v>
      </c>
      <c r="C58" s="125">
        <f>'Influent Concentration'!T58*HRT!B58/1000</f>
        <v>19.390082816824304</v>
      </c>
      <c r="D58" s="107">
        <f>'Influent Concentration'!U58*HRT!B58/1000</f>
        <v>101.7432027854863</v>
      </c>
      <c r="E58" s="107">
        <f>'Influent Concentration'!V58*HRT!B58/1000</f>
        <v>155.71327035258389</v>
      </c>
      <c r="F58" s="125">
        <f>'Influent Concentration'!W58*HRT!B58/1000</f>
        <v>3.6877785453093743</v>
      </c>
      <c r="G58" s="125">
        <f>Gas!Y58-Gas!U58</f>
        <v>121.94723387530007</v>
      </c>
      <c r="H58" s="132">
        <f>'Effluent Concentration'!AJ58*HRT!D58/1000</f>
        <v>100.75236809550347</v>
      </c>
      <c r="I58" s="132">
        <f>'Effluent Concentration'!AK58*HRT!D58/1000</f>
        <v>1.3473048360554631</v>
      </c>
      <c r="J58" s="132">
        <f>'Effluent Concentration'!AL58*HRT!D58/1000</f>
        <v>61.772066143296669</v>
      </c>
      <c r="K58" s="132">
        <f>'Effluent Concentration'!AM58*HRT!D58/1000</f>
        <v>2.4152245777552031</v>
      </c>
      <c r="L58" s="132">
        <f>'Effluent Concentration'!AN58*HRT!D58/1000</f>
        <v>0.48919453244106886</v>
      </c>
      <c r="M58" s="132">
        <f>'Effluent Concentration'!AO58*HRT!D58/1000</f>
        <v>221.67293233891488</v>
      </c>
      <c r="N58" s="132">
        <f>'Effluent Concentration'!AP58*HRT!D58/1000</f>
        <v>1.666221699439203</v>
      </c>
      <c r="O58" s="132">
        <f>'Effluent Concentration'!AQ58*HRT!D58/1000</f>
        <v>1.8020541221125659</v>
      </c>
      <c r="P58" s="132">
        <f>'Effluent Concentration'!AR58*HRT!D58/1000</f>
        <v>0.51037015563009647</v>
      </c>
      <c r="Q58" s="132">
        <f>'Effluent Concentration'!AS58*HRT!D58/1000</f>
        <v>0.12640751521390298</v>
      </c>
      <c r="R58" s="132">
        <f>'Effluent Concentration'!AT58*HRT!D58/1000</f>
        <v>0.76393563294210887</v>
      </c>
      <c r="S58" s="132">
        <f>Gas!S58</f>
        <v>6.030845020742114</v>
      </c>
      <c r="T58" s="132">
        <f>Gas!W58</f>
        <v>6.6516673022890965E-3</v>
      </c>
      <c r="U58" s="135">
        <f>Gas!V58</f>
        <v>127.00381308412203</v>
      </c>
      <c r="V58" s="138">
        <f>'Influent Concentration'!Y58*HRT!B58/1000</f>
        <v>956.39106330035611</v>
      </c>
      <c r="W58" s="138">
        <f>'Influent Concentration'!Z58*HRT!B58/1000</f>
        <v>87.255372675709367</v>
      </c>
      <c r="X58" s="138">
        <f>'Influent Concentration'!AA58*HRT!B58/1000</f>
        <v>406.97281114194521</v>
      </c>
      <c r="Y58" s="138">
        <f>'Influent Concentration'!AB58*HRT!B58/1000</f>
        <v>934.27962211550346</v>
      </c>
      <c r="Z58" s="138">
        <f>'Influent Concentration'!AC58*HRT!B58/1000</f>
        <v>16.692050257716112</v>
      </c>
      <c r="AA58" s="139">
        <f>'Effluent Concentration'!AV58*HRT!D58/1000</f>
        <v>604.51420857302082</v>
      </c>
      <c r="AB58" s="139">
        <f>'Effluent Concentration'!AW58*HRT!D58/1000</f>
        <v>8.0838290163327784</v>
      </c>
      <c r="AC58" s="139">
        <f>'Effluent Concentration'!AX58*HRT!D58/1000</f>
        <v>247.08826457318668</v>
      </c>
      <c r="AD58" s="139">
        <f>'Effluent Concentration'!AY58*HRT!D58/1000</f>
        <v>11.271048029524279</v>
      </c>
      <c r="AE58" s="139">
        <f>'Effluent Concentration'!AZ58*HRT!D58/1000</f>
        <v>2.4459726622053446</v>
      </c>
      <c r="AF58" s="139">
        <f>'Effluent Concentration'!BA58*HRT!D58/1000</f>
        <v>1108.3646616945741</v>
      </c>
      <c r="AG58" s="139">
        <f>'Effluent Concentration'!BB58*HRT!D58/1000</f>
        <v>8.6643528370838556</v>
      </c>
      <c r="AH58" s="139">
        <f>'Effluent Concentration'!BC58*HRT!D58/1000</f>
        <v>9.6109553179336835</v>
      </c>
      <c r="AI58" s="139">
        <f>'Effluent Concentration'!BD58*HRT!D58/1000</f>
        <v>2.2966657003354345</v>
      </c>
      <c r="AJ58" s="139">
        <f>'Effluent Concentration'!BE58*HRT!D58/1000</f>
        <v>0.56883381846256342</v>
      </c>
      <c r="AK58" s="139">
        <f>'Effluent Concentration'!BF58*HRT!D58/1000</f>
        <v>3.0557425317684355</v>
      </c>
      <c r="AL58" s="139">
        <f>Gas!S58*Constants!$E$17</f>
        <v>12.061690041484228</v>
      </c>
      <c r="AM58" s="139">
        <f>Gas!W58*Constants!$E$19</f>
        <v>5.3213338418312772E-2</v>
      </c>
    </row>
    <row r="59" spans="1:39">
      <c r="A59" s="58">
        <f>Rawdata!Y61</f>
        <v>121.20138888889051</v>
      </c>
      <c r="B59" s="107">
        <f>'Influent Concentration'!S59*HRT!B59/1000</f>
        <v>206.07291692159993</v>
      </c>
      <c r="C59" s="125">
        <f>'Influent Concentration'!T59*HRT!B59/1000</f>
        <v>21.426241071112777</v>
      </c>
      <c r="D59" s="107">
        <f>'Influent Concentration'!U59*HRT!B59/1000</f>
        <v>95.659900476765912</v>
      </c>
      <c r="E59" s="107">
        <f>'Influent Concentration'!V59*HRT!B59/1000</f>
        <v>164.13473920932273</v>
      </c>
      <c r="F59" s="125">
        <f>'Influent Concentration'!W59*HRT!B59/1000</f>
        <v>3.7772126992844051</v>
      </c>
      <c r="G59" s="125">
        <f>Gas!Y59-Gas!U59</f>
        <v>125.35625859710444</v>
      </c>
      <c r="H59" s="132">
        <f>'Effluent Concentration'!AJ59*HRT!D59/1000</f>
        <v>101.04731012863101</v>
      </c>
      <c r="I59" s="132">
        <f>'Effluent Concentration'!AK59*HRT!D59/1000</f>
        <v>1.9180009194607397</v>
      </c>
      <c r="J59" s="132">
        <f>'Effluent Concentration'!AL59*HRT!D59/1000</f>
        <v>49.69349749271678</v>
      </c>
      <c r="K59" s="132">
        <f>'Effluent Concentration'!AM59*HRT!D59/1000</f>
        <v>1.8422750948219877</v>
      </c>
      <c r="L59" s="132">
        <f>'Effluent Concentration'!AN59*HRT!D59/1000</f>
        <v>0.5014146667432644</v>
      </c>
      <c r="M59" s="132">
        <f>'Effluent Concentration'!AO59*HRT!D59/1000</f>
        <v>247.47047829523012</v>
      </c>
      <c r="N59" s="132">
        <f>'Effluent Concentration'!AP59*HRT!D59/1000</f>
        <v>1.5097556032816875</v>
      </c>
      <c r="O59" s="132">
        <f>'Effluent Concentration'!AQ59*HRT!D59/1000</f>
        <v>2.0617138141650893</v>
      </c>
      <c r="P59" s="132">
        <f>'Effluent Concentration'!AR59*HRT!D59/1000</f>
        <v>0.54622894553234502</v>
      </c>
      <c r="Q59" s="132">
        <f>'Effluent Concentration'!AS59*HRT!D59/1000</f>
        <v>0.16259160988281537</v>
      </c>
      <c r="R59" s="132">
        <f>'Effluent Concentration'!AT59*HRT!D59/1000</f>
        <v>0.76480909050733481</v>
      </c>
      <c r="S59" s="132">
        <f>Gas!S59</f>
        <v>5.8589949954698222</v>
      </c>
      <c r="T59" s="132">
        <f>Gas!W59</f>
        <v>6.1213380549684712E-3</v>
      </c>
      <c r="U59" s="135">
        <f>Gas!V59</f>
        <v>129.09843345723829</v>
      </c>
      <c r="V59" s="138">
        <f>'Influent Concentration'!Y59*HRT!B59/1000</f>
        <v>927.32812614719955</v>
      </c>
      <c r="W59" s="138">
        <f>'Influent Concentration'!Z59*HRT!B59/1000</f>
        <v>96.418084820007493</v>
      </c>
      <c r="X59" s="138">
        <f>'Influent Concentration'!AA59*HRT!B59/1000</f>
        <v>382.63960190706365</v>
      </c>
      <c r="Y59" s="138">
        <f>'Influent Concentration'!AB59*HRT!B59/1000</f>
        <v>984.8084352559365</v>
      </c>
      <c r="Z59" s="138">
        <f>'Influent Concentration'!AC59*HRT!B59/1000</f>
        <v>17.096857480971519</v>
      </c>
      <c r="AA59" s="139">
        <f>'Effluent Concentration'!AV59*HRT!D59/1000</f>
        <v>606.28386077178618</v>
      </c>
      <c r="AB59" s="139">
        <f>'Effluent Concentration'!AW59*HRT!D59/1000</f>
        <v>11.508005516764438</v>
      </c>
      <c r="AC59" s="139">
        <f>'Effluent Concentration'!AX59*HRT!D59/1000</f>
        <v>198.77398997086712</v>
      </c>
      <c r="AD59" s="139">
        <f>'Effluent Concentration'!AY59*HRT!D59/1000</f>
        <v>8.5972837758359422</v>
      </c>
      <c r="AE59" s="139">
        <f>'Effluent Concentration'!AZ59*HRT!D59/1000</f>
        <v>2.5070733337163218</v>
      </c>
      <c r="AF59" s="139">
        <f>'Effluent Concentration'!BA59*HRT!D59/1000</f>
        <v>1237.3523914761506</v>
      </c>
      <c r="AG59" s="139">
        <f>'Effluent Concentration'!BB59*HRT!D59/1000</f>
        <v>7.850729137064774</v>
      </c>
      <c r="AH59" s="139">
        <f>'Effluent Concentration'!BC59*HRT!D59/1000</f>
        <v>10.995807008880476</v>
      </c>
      <c r="AI59" s="139">
        <f>'Effluent Concentration'!BD59*HRT!D59/1000</f>
        <v>2.4580302548955526</v>
      </c>
      <c r="AJ59" s="139">
        <f>'Effluent Concentration'!BE59*HRT!D59/1000</f>
        <v>0.73166224447266914</v>
      </c>
      <c r="AK59" s="139">
        <f>'Effluent Concentration'!BF59*HRT!D59/1000</f>
        <v>3.0592363620293392</v>
      </c>
      <c r="AL59" s="139">
        <f>Gas!S59*Constants!$E$17</f>
        <v>11.717989990939644</v>
      </c>
      <c r="AM59" s="139">
        <f>Gas!W59*Constants!$E$19</f>
        <v>4.897070443974777E-2</v>
      </c>
    </row>
    <row r="60" spans="1:39">
      <c r="A60" s="58">
        <f>Rawdata!Y62</f>
        <v>124.17569444444234</v>
      </c>
      <c r="B60" s="107">
        <f>'Influent Concentration'!S60*HRT!B60/1000</f>
        <v>181.02810011434826</v>
      </c>
      <c r="C60" s="125">
        <f>'Influent Concentration'!T60*HRT!B60/1000</f>
        <v>18.822229391605248</v>
      </c>
      <c r="D60" s="107">
        <f>'Influent Concentration'!U60*HRT!B60/1000</f>
        <v>84.033992914385934</v>
      </c>
      <c r="E60" s="107">
        <f>'Influent Concentration'!V60*HRT!B60/1000</f>
        <v>144.18682690424566</v>
      </c>
      <c r="F60" s="125">
        <f>'Influent Concentration'!W60*HRT!B60/1000</f>
        <v>3.318153830662709</v>
      </c>
      <c r="G60" s="125">
        <f>Gas!Y60-Gas!U60</f>
        <v>133.41549399610972</v>
      </c>
      <c r="H60" s="132">
        <f>'Effluent Concentration'!AJ60*HRT!D60/1000</f>
        <v>90.231677846894272</v>
      </c>
      <c r="I60" s="132">
        <f>'Effluent Concentration'!AK60*HRT!D60/1000</f>
        <v>3.5884991770241896</v>
      </c>
      <c r="J60" s="132">
        <f>'Effluent Concentration'!AL60*HRT!D60/1000</f>
        <v>48.393629855171902</v>
      </c>
      <c r="K60" s="132">
        <f>'Effluent Concentration'!AM60*HRT!D60/1000</f>
        <v>1.9206767525864532</v>
      </c>
      <c r="L60" s="132">
        <f>'Effluent Concentration'!AN60*HRT!D60/1000</f>
        <v>0.60896400883727364</v>
      </c>
      <c r="M60" s="132">
        <f>'Effluent Concentration'!AO60*HRT!D60/1000</f>
        <v>222.1805186242793</v>
      </c>
      <c r="N60" s="132">
        <f>'Effluent Concentration'!AP60*HRT!D60/1000</f>
        <v>1.299347279095153</v>
      </c>
      <c r="O60" s="132">
        <f>'Effluent Concentration'!AQ60*HRT!D60/1000</f>
        <v>2.4943304202885823</v>
      </c>
      <c r="P60" s="132">
        <f>'Effluent Concentration'!AR60*HRT!D60/1000</f>
        <v>0.50988127358178736</v>
      </c>
      <c r="Q60" s="132">
        <f>'Effluent Concentration'!AS60*HRT!D60/1000</f>
        <v>0.22926793133104784</v>
      </c>
      <c r="R60" s="132">
        <f>'Effluent Concentration'!AT60*HRT!D60/1000</f>
        <v>0.68446141940899108</v>
      </c>
      <c r="S60" s="132">
        <f>Gas!S60</f>
        <v>4.9481021124930846</v>
      </c>
      <c r="T60" s="132">
        <f>Gas!W60</f>
        <v>2.9322086592551606E-2</v>
      </c>
      <c r="U60" s="135">
        <f>Gas!V60</f>
        <v>133.13878156184765</v>
      </c>
      <c r="V60" s="138">
        <f>'Influent Concentration'!Y60*HRT!B60/1000</f>
        <v>814.62645051456718</v>
      </c>
      <c r="W60" s="138">
        <f>'Influent Concentration'!Z60*HRT!B60/1000</f>
        <v>84.700032262223615</v>
      </c>
      <c r="X60" s="138">
        <f>'Influent Concentration'!AA60*HRT!B60/1000</f>
        <v>336.13597165754373</v>
      </c>
      <c r="Y60" s="138">
        <f>'Influent Concentration'!AB60*HRT!B60/1000</f>
        <v>865.12096142547387</v>
      </c>
      <c r="Z60" s="138">
        <f>'Influent Concentration'!AC60*HRT!B60/1000</f>
        <v>15.019012075631208</v>
      </c>
      <c r="AA60" s="139">
        <f>'Effluent Concentration'!AV60*HRT!D60/1000</f>
        <v>541.3900670813656</v>
      </c>
      <c r="AB60" s="139">
        <f>'Effluent Concentration'!AW60*HRT!D60/1000</f>
        <v>21.530995062145138</v>
      </c>
      <c r="AC60" s="139">
        <f>'Effluent Concentration'!AX60*HRT!D60/1000</f>
        <v>193.57451942068761</v>
      </c>
      <c r="AD60" s="139">
        <f>'Effluent Concentration'!AY60*HRT!D60/1000</f>
        <v>8.9631581787367818</v>
      </c>
      <c r="AE60" s="139">
        <f>'Effluent Concentration'!AZ60*HRT!D60/1000</f>
        <v>3.0448200441863684</v>
      </c>
      <c r="AF60" s="139">
        <f>'Effluent Concentration'!BA60*HRT!D60/1000</f>
        <v>1110.9025931213964</v>
      </c>
      <c r="AG60" s="139">
        <f>'Effluent Concentration'!BB60*HRT!D60/1000</f>
        <v>6.756605851294796</v>
      </c>
      <c r="AH60" s="139">
        <f>'Effluent Concentration'!BC60*HRT!D60/1000</f>
        <v>13.30309557487244</v>
      </c>
      <c r="AI60" s="139">
        <f>'Effluent Concentration'!BD60*HRT!D60/1000</f>
        <v>2.2944657311180432</v>
      </c>
      <c r="AJ60" s="139">
        <f>'Effluent Concentration'!BE60*HRT!D60/1000</f>
        <v>1.0317056909897153</v>
      </c>
      <c r="AK60" s="139">
        <f>'Effluent Concentration'!BF60*HRT!D60/1000</f>
        <v>2.7378456776359643</v>
      </c>
      <c r="AL60" s="139">
        <f>Gas!S60*Constants!$E$17</f>
        <v>9.8962042249861693</v>
      </c>
      <c r="AM60" s="139">
        <f>Gas!W60*Constants!$E$19</f>
        <v>0.23457669274041285</v>
      </c>
    </row>
    <row r="61" spans="1:39">
      <c r="A61" s="58">
        <f>Rawdata!Y63</f>
        <v>126.16180555555911</v>
      </c>
      <c r="B61" s="107">
        <f>'Influent Concentration'!S61*HRT!B61/1000</f>
        <v>219.32978663019023</v>
      </c>
      <c r="C61" s="125">
        <f>'Influent Concentration'!T61*HRT!B61/1000</f>
        <v>22.804611846213966</v>
      </c>
      <c r="D61" s="107">
        <f>'Influent Concentration'!U61*HRT!B61/1000</f>
        <v>101.81379423389494</v>
      </c>
      <c r="E61" s="107">
        <f>'Influent Concentration'!V61*HRT!B61/1000</f>
        <v>174.69368545444851</v>
      </c>
      <c r="F61" s="125">
        <f>'Influent Concentration'!W61*HRT!B61/1000</f>
        <v>4.0202044391213132</v>
      </c>
      <c r="G61" s="125">
        <f>Gas!Y61-Gas!U61</f>
        <v>129.16928209774437</v>
      </c>
      <c r="H61" s="132">
        <f>'Effluent Concentration'!AJ61*HRT!D61/1000</f>
        <v>112.45863888696175</v>
      </c>
      <c r="I61" s="132">
        <f>'Effluent Concentration'!AK61*HRT!D61/1000</f>
        <v>5.0243281737391969</v>
      </c>
      <c r="J61" s="132">
        <f>'Effluent Concentration'!AL61*HRT!D61/1000</f>
        <v>64.929784315174373</v>
      </c>
      <c r="K61" s="132">
        <f>'Effluent Concentration'!AM61*HRT!D61/1000</f>
        <v>2.3623313411275384</v>
      </c>
      <c r="L61" s="132">
        <f>'Effluent Concentration'!AN61*HRT!D61/1000</f>
        <v>0.68853919714280309</v>
      </c>
      <c r="M61" s="132">
        <f>'Effluent Concentration'!AO61*HRT!D61/1000</f>
        <v>255.81349756000188</v>
      </c>
      <c r="N61" s="132">
        <f>'Effluent Concentration'!AP61*HRT!D61/1000</f>
        <v>1.5707240471768076</v>
      </c>
      <c r="O61" s="132">
        <f>'Effluent Concentration'!AQ61*HRT!D61/1000</f>
        <v>3.3505797932990626</v>
      </c>
      <c r="P61" s="132">
        <f>'Effluent Concentration'!AR61*HRT!D61/1000</f>
        <v>0.76430270815700574</v>
      </c>
      <c r="Q61" s="132">
        <f>'Effluent Concentration'!AS61*HRT!D61/1000</f>
        <v>0.40384441641473623</v>
      </c>
      <c r="R61" s="132">
        <f>'Effluent Concentration'!AT61*HRT!D61/1000</f>
        <v>0.88200137223390918</v>
      </c>
      <c r="S61" s="132">
        <f>Gas!S61</f>
        <v>4.9628435315235304</v>
      </c>
      <c r="T61" s="132">
        <f>Gas!W61</f>
        <v>2.9325893595366311E-2</v>
      </c>
      <c r="U61" s="135">
        <f>Gas!V61</f>
        <v>127.37142754538942</v>
      </c>
      <c r="V61" s="138">
        <f>'Influent Concentration'!Y61*HRT!B61/1000</f>
        <v>986.98403983585592</v>
      </c>
      <c r="W61" s="138">
        <f>'Influent Concentration'!Z61*HRT!B61/1000</f>
        <v>102.62075330796284</v>
      </c>
      <c r="X61" s="138">
        <f>'Influent Concentration'!AA61*HRT!B61/1000</f>
        <v>407.25517693557975</v>
      </c>
      <c r="Y61" s="138">
        <f>'Influent Concentration'!AB61*HRT!B61/1000</f>
        <v>1048.162112726691</v>
      </c>
      <c r="Z61" s="138">
        <f>'Influent Concentration'!AC61*HRT!B61/1000</f>
        <v>18.196714829706995</v>
      </c>
      <c r="AA61" s="139">
        <f>'Effluent Concentration'!AV61*HRT!D61/1000</f>
        <v>674.7518333217705</v>
      </c>
      <c r="AB61" s="139">
        <f>'Effluent Concentration'!AW61*HRT!D61/1000</f>
        <v>30.14596904243518</v>
      </c>
      <c r="AC61" s="139">
        <f>'Effluent Concentration'!AX61*HRT!D61/1000</f>
        <v>259.71913726069749</v>
      </c>
      <c r="AD61" s="139">
        <f>'Effluent Concentration'!AY61*HRT!D61/1000</f>
        <v>11.024212925261846</v>
      </c>
      <c r="AE61" s="139">
        <f>'Effluent Concentration'!AZ61*HRT!D61/1000</f>
        <v>3.4426959857140158</v>
      </c>
      <c r="AF61" s="139">
        <f>'Effluent Concentration'!BA61*HRT!D61/1000</f>
        <v>1279.0674878000095</v>
      </c>
      <c r="AG61" s="139">
        <f>'Effluent Concentration'!BB61*HRT!D61/1000</f>
        <v>8.1677650453194008</v>
      </c>
      <c r="AH61" s="139">
        <f>'Effluent Concentration'!BC61*HRT!D61/1000</f>
        <v>17.869758897595002</v>
      </c>
      <c r="AI61" s="139">
        <f>'Effluent Concentration'!BD61*HRT!D61/1000</f>
        <v>3.4393621867065263</v>
      </c>
      <c r="AJ61" s="139">
        <f>'Effluent Concentration'!BE61*HRT!D61/1000</f>
        <v>1.8172998738663129</v>
      </c>
      <c r="AK61" s="139">
        <f>'Effluent Concentration'!BF61*HRT!D61/1000</f>
        <v>3.5280054889356367</v>
      </c>
      <c r="AL61" s="139">
        <f>Gas!S61*Constants!$E$17</f>
        <v>9.9256870630470608</v>
      </c>
      <c r="AM61" s="139">
        <f>Gas!W61*Constants!$E$19</f>
        <v>0.23460714876293048</v>
      </c>
    </row>
    <row r="62" spans="1:39">
      <c r="A62" s="58">
        <f>Rawdata!Y64</f>
        <v>128.18472222222044</v>
      </c>
      <c r="B62" s="107">
        <f>'Influent Concentration'!S62*HRT!B62/1000</f>
        <v>197.27599361105609</v>
      </c>
      <c r="C62" s="125">
        <f>'Influent Concentration'!T62*HRT!B62/1000</f>
        <v>20.511589100579879</v>
      </c>
      <c r="D62" s="107">
        <f>'Influent Concentration'!U62*HRT!B62/1000</f>
        <v>91.576332286635818</v>
      </c>
      <c r="E62" s="107">
        <f>'Influent Concentration'!V62*HRT!B62/1000</f>
        <v>157.12808964571295</v>
      </c>
      <c r="F62" s="125">
        <f>'Influent Concentration'!W62*HRT!B62/1000</f>
        <v>3.6159695289562119</v>
      </c>
      <c r="G62" s="125">
        <f>Gas!Y62-Gas!U62</f>
        <v>115.94556135716812</v>
      </c>
      <c r="H62" s="132">
        <f>'Effluent Concentration'!AJ62*HRT!D62/1000</f>
        <v>120.37889243953357</v>
      </c>
      <c r="I62" s="132">
        <f>'Effluent Concentration'!AK62*HRT!D62/1000</f>
        <v>5.7249979352808182</v>
      </c>
      <c r="J62" s="132">
        <f>'Effluent Concentration'!AL62*HRT!D62/1000</f>
        <v>65.823164417741907</v>
      </c>
      <c r="K62" s="132">
        <f>'Effluent Concentration'!AM62*HRT!D62/1000</f>
        <v>1.6490807944470769</v>
      </c>
      <c r="L62" s="132">
        <f>'Effluent Concentration'!AN62*HRT!D62/1000</f>
        <v>0.56407752644330922</v>
      </c>
      <c r="M62" s="132">
        <f>'Effluent Concentration'!AO62*HRT!D62/1000</f>
        <v>229.71701753357692</v>
      </c>
      <c r="N62" s="132">
        <f>'Effluent Concentration'!AP62*HRT!D62/1000</f>
        <v>1.4875333360330134</v>
      </c>
      <c r="O62" s="132">
        <f>'Effluent Concentration'!AQ62*HRT!D62/1000</f>
        <v>3.3653968389156881</v>
      </c>
      <c r="P62" s="132">
        <f>'Effluent Concentration'!AR62*HRT!D62/1000</f>
        <v>0.56366862103905346</v>
      </c>
      <c r="Q62" s="132">
        <f>'Effluent Concentration'!AS62*HRT!D62/1000</f>
        <v>0.38810953832696077</v>
      </c>
      <c r="R62" s="132">
        <f>'Effluent Concentration'!AT62*HRT!D62/1000</f>
        <v>0.76849703570710126</v>
      </c>
      <c r="S62" s="132">
        <f>Gas!S62</f>
        <v>4.9008781354005277</v>
      </c>
      <c r="T62" s="132">
        <f>Gas!W62</f>
        <v>8.3775694622231275E-3</v>
      </c>
      <c r="U62" s="135">
        <f>Gas!V62</f>
        <v>116.66764350927174</v>
      </c>
      <c r="V62" s="138">
        <f>'Influent Concentration'!Y62*HRT!B62/1000</f>
        <v>887.74197124975228</v>
      </c>
      <c r="W62" s="138">
        <f>'Influent Concentration'!Z62*HRT!B62/1000</f>
        <v>92.302150952609466</v>
      </c>
      <c r="X62" s="138">
        <f>'Influent Concentration'!AA62*HRT!B62/1000</f>
        <v>366.30532914654327</v>
      </c>
      <c r="Y62" s="138">
        <f>'Influent Concentration'!AB62*HRT!B62/1000</f>
        <v>942.76853787427785</v>
      </c>
      <c r="Z62" s="138">
        <f>'Influent Concentration'!AC62*HRT!B62/1000</f>
        <v>16.367019973170223</v>
      </c>
      <c r="AA62" s="139">
        <f>'Effluent Concentration'!AV62*HRT!D62/1000</f>
        <v>722.27335463720158</v>
      </c>
      <c r="AB62" s="139">
        <f>'Effluent Concentration'!AW62*HRT!D62/1000</f>
        <v>34.349987611684909</v>
      </c>
      <c r="AC62" s="139">
        <f>'Effluent Concentration'!AX62*HRT!D62/1000</f>
        <v>263.29265767096763</v>
      </c>
      <c r="AD62" s="139">
        <f>'Effluent Concentration'!AY62*HRT!D62/1000</f>
        <v>7.6957103740863584</v>
      </c>
      <c r="AE62" s="139">
        <f>'Effluent Concentration'!AZ62*HRT!D62/1000</f>
        <v>2.820387632216546</v>
      </c>
      <c r="AF62" s="139">
        <f>'Effluent Concentration'!BA62*HRT!D62/1000</f>
        <v>1148.5850876678846</v>
      </c>
      <c r="AG62" s="139">
        <f>'Effluent Concentration'!BB62*HRT!D62/1000</f>
        <v>7.7351733473716697</v>
      </c>
      <c r="AH62" s="139">
        <f>'Effluent Concentration'!BC62*HRT!D62/1000</f>
        <v>17.94878314088367</v>
      </c>
      <c r="AI62" s="139">
        <f>'Effluent Concentration'!BD62*HRT!D62/1000</f>
        <v>2.5365087946757412</v>
      </c>
      <c r="AJ62" s="139">
        <f>'Effluent Concentration'!BE62*HRT!D62/1000</f>
        <v>1.7464929224713235</v>
      </c>
      <c r="AK62" s="139">
        <f>'Effluent Concentration'!BF62*HRT!D62/1000</f>
        <v>3.073988142828405</v>
      </c>
      <c r="AL62" s="139">
        <f>Gas!S62*Constants!$E$17</f>
        <v>9.8017562708010555</v>
      </c>
      <c r="AM62" s="139">
        <f>Gas!W62*Constants!$E$19</f>
        <v>6.702055569778502E-2</v>
      </c>
    </row>
    <row r="63" spans="1:39">
      <c r="A63" s="58">
        <f>Rawdata!Y65</f>
        <v>131.17083333333721</v>
      </c>
      <c r="B63" s="107">
        <f>'Influent Concentration'!S63*HRT!B63/1000</f>
        <v>200.40757944813271</v>
      </c>
      <c r="C63" s="125">
        <f>'Influent Concentration'!T63*HRT!B63/1000</f>
        <v>20.837192843577384</v>
      </c>
      <c r="D63" s="107">
        <f>'Influent Concentration'!U63*HRT!B63/1000</f>
        <v>93.030027386332847</v>
      </c>
      <c r="E63" s="107">
        <f>'Influent Concentration'!V63*HRT!B63/1000</f>
        <v>159.62236221854084</v>
      </c>
      <c r="F63" s="125">
        <f>'Influent Concentration'!W63*HRT!B63/1000</f>
        <v>3.6733699189220865</v>
      </c>
      <c r="G63" s="125">
        <f>Gas!Y63-Gas!U63</f>
        <v>108.60237053666629</v>
      </c>
      <c r="H63" s="132">
        <f>'Effluent Concentration'!AJ63*HRT!D63/1000</f>
        <v>125.98760084058095</v>
      </c>
      <c r="I63" s="132">
        <f>'Effluent Concentration'!AK63*HRT!D63/1000</f>
        <v>5.9246388132268883</v>
      </c>
      <c r="J63" s="132">
        <f>'Effluent Concentration'!AL63*HRT!D63/1000</f>
        <v>73.159892882923913</v>
      </c>
      <c r="K63" s="132">
        <f>'Effluent Concentration'!AM63*HRT!D63/1000</f>
        <v>1.4819594655655273</v>
      </c>
      <c r="L63" s="132">
        <f>'Effluent Concentration'!AN63*HRT!D63/1000</f>
        <v>0.49117008812886459</v>
      </c>
      <c r="M63" s="132">
        <f>'Effluent Concentration'!AO63*HRT!D63/1000</f>
        <v>218.90776672880574</v>
      </c>
      <c r="N63" s="132">
        <f>'Effluent Concentration'!AP63*HRT!D63/1000</f>
        <v>1.3501653842887797</v>
      </c>
      <c r="O63" s="132">
        <f>'Effluent Concentration'!AQ63*HRT!D63/1000</f>
        <v>4.6625248125992735</v>
      </c>
      <c r="P63" s="132">
        <f>'Effluent Concentration'!AR63*HRT!D63/1000</f>
        <v>0.51759629450944333</v>
      </c>
      <c r="Q63" s="132">
        <f>'Effluent Concentration'!AS63*HRT!D63/1000</f>
        <v>0.32527311439832252</v>
      </c>
      <c r="R63" s="132">
        <f>'Effluent Concentration'!AT63*HRT!D63/1000</f>
        <v>0.73653923334157567</v>
      </c>
      <c r="S63" s="132">
        <f>Gas!S63</f>
        <v>4.9862230593542201</v>
      </c>
      <c r="T63" s="132">
        <f>Gas!W63</f>
        <v>9.3238317370038272E-3</v>
      </c>
      <c r="U63" s="135">
        <f>Gas!V63</f>
        <v>109.93023529083361</v>
      </c>
      <c r="V63" s="138">
        <f>'Influent Concentration'!Y63*HRT!B63/1000</f>
        <v>901.83410751659721</v>
      </c>
      <c r="W63" s="138">
        <f>'Influent Concentration'!Z63*HRT!B63/1000</f>
        <v>93.767367796098227</v>
      </c>
      <c r="X63" s="138">
        <f>'Influent Concentration'!AA63*HRT!B63/1000</f>
        <v>372.12010954533139</v>
      </c>
      <c r="Y63" s="138">
        <f>'Influent Concentration'!AB63*HRT!B63/1000</f>
        <v>957.73417331124506</v>
      </c>
      <c r="Z63" s="138">
        <f>'Influent Concentration'!AC63*HRT!B63/1000</f>
        <v>16.626832264594704</v>
      </c>
      <c r="AA63" s="139">
        <f>'Effluent Concentration'!AV63*HRT!D63/1000</f>
        <v>755.9256050434858</v>
      </c>
      <c r="AB63" s="139">
        <f>'Effluent Concentration'!AW63*HRT!D63/1000</f>
        <v>35.547832879361337</v>
      </c>
      <c r="AC63" s="139">
        <f>'Effluent Concentration'!AX63*HRT!D63/1000</f>
        <v>292.63957153169565</v>
      </c>
      <c r="AD63" s="139">
        <f>'Effluent Concentration'!AY63*HRT!D63/1000</f>
        <v>6.9158108393057942</v>
      </c>
      <c r="AE63" s="139">
        <f>'Effluent Concentration'!AZ63*HRT!D63/1000</f>
        <v>2.4558504406443227</v>
      </c>
      <c r="AF63" s="139">
        <f>'Effluent Concentration'!BA63*HRT!D63/1000</f>
        <v>1094.5388336440287</v>
      </c>
      <c r="AG63" s="139">
        <f>'Effluent Concentration'!BB63*HRT!D63/1000</f>
        <v>7.0208599983016544</v>
      </c>
      <c r="AH63" s="139">
        <f>'Effluent Concentration'!BC63*HRT!D63/1000</f>
        <v>24.866799000529461</v>
      </c>
      <c r="AI63" s="139">
        <f>'Effluent Concentration'!BD63*HRT!D63/1000</f>
        <v>2.3291833252924947</v>
      </c>
      <c r="AJ63" s="139">
        <f>'Effluent Concentration'!BE63*HRT!D63/1000</f>
        <v>1.4637290147924511</v>
      </c>
      <c r="AK63" s="139">
        <f>'Effluent Concentration'!BF63*HRT!D63/1000</f>
        <v>2.9461569333663027</v>
      </c>
      <c r="AL63" s="139">
        <f>Gas!S63*Constants!$E$17</f>
        <v>9.9724461187084401</v>
      </c>
      <c r="AM63" s="139">
        <f>Gas!W63*Constants!$E$19</f>
        <v>7.4590653896030618E-2</v>
      </c>
    </row>
    <row r="64" spans="1:39">
      <c r="A64" s="58">
        <f>Rawdata!Y66</f>
        <v>132.02500000000146</v>
      </c>
      <c r="B64" s="107">
        <f>'Influent Concentration'!S64*HRT!B64/1000</f>
        <v>198.50005871033338</v>
      </c>
      <c r="C64" s="125">
        <f>'Influent Concentration'!T64*HRT!B64/1000</f>
        <v>20.638860137917739</v>
      </c>
      <c r="D64" s="107">
        <f>'Influent Concentration'!U64*HRT!B64/1000</f>
        <v>92.144548369191185</v>
      </c>
      <c r="E64" s="107">
        <f>'Influent Concentration'!V64*HRT!B64/1000</f>
        <v>158.10304360301316</v>
      </c>
      <c r="F64" s="125">
        <f>'Influent Concentration'!W64*HRT!B64/1000</f>
        <v>3.6384060252547523</v>
      </c>
      <c r="G64" s="126">
        <f>Gas!Y64-Gas!U64</f>
        <v>109.2028034411419</v>
      </c>
      <c r="H64" s="132">
        <f>'Effluent Concentration'!AJ64*HRT!D64/1000</f>
        <v>123.17833988815083</v>
      </c>
      <c r="I64" s="132">
        <f>'Effluent Concentration'!AK64*HRT!D64/1000</f>
        <v>5.8228884472280438</v>
      </c>
      <c r="J64" s="132">
        <f>'Effluent Concentration'!AL64*HRT!D64/1000</f>
        <v>72.795959529866963</v>
      </c>
      <c r="K64" s="132">
        <f>'Effluent Concentration'!AM64*HRT!D64/1000</f>
        <v>1.5231643049087131</v>
      </c>
      <c r="L64" s="132">
        <f>'Effluent Concentration'!AN64*HRT!D64/1000</f>
        <v>0.51034282535002951</v>
      </c>
      <c r="M64" s="132">
        <f>'Effluent Concentration'!AO64*HRT!D64/1000</f>
        <v>213.14682730904175</v>
      </c>
      <c r="N64" s="132">
        <f>'Effluent Concentration'!AP64*HRT!D64/1000</f>
        <v>1.3733188451868683</v>
      </c>
      <c r="O64" s="132">
        <f>'Effluent Concentration'!AQ64*HRT!D64/1000</f>
        <v>5.5732501511950225</v>
      </c>
      <c r="P64" s="132">
        <f>'Effluent Concentration'!AR64*HRT!D64/1000</f>
        <v>0.58533155416587024</v>
      </c>
      <c r="Q64" s="132">
        <f>'Effluent Concentration'!AS64*HRT!D64/1000</f>
        <v>0.2953290062308474</v>
      </c>
      <c r="R64" s="132">
        <f>'Effluent Concentration'!AT64*HRT!D64/1000</f>
        <v>0.79076012650226701</v>
      </c>
      <c r="S64" s="132">
        <f>Gas!S64</f>
        <v>3.4256426481153972</v>
      </c>
      <c r="T64" s="132">
        <f>Gas!W64</f>
        <v>1.5457168046374356E-2</v>
      </c>
      <c r="U64" s="135">
        <f>Gas!V64</f>
        <v>108.97451973055881</v>
      </c>
      <c r="V64" s="138">
        <f>'Influent Concentration'!Y64*HRT!B64/1000</f>
        <v>893.2502641965001</v>
      </c>
      <c r="W64" s="138">
        <f>'Influent Concentration'!Z64*HRT!B64/1000</f>
        <v>92.874870620629821</v>
      </c>
      <c r="X64" s="138">
        <f>'Influent Concentration'!AA64*HRT!B64/1000</f>
        <v>368.57819347676474</v>
      </c>
      <c r="Y64" s="138">
        <f>'Influent Concentration'!AB64*HRT!B64/1000</f>
        <v>948.61826161807892</v>
      </c>
      <c r="Z64" s="138">
        <f>'Influent Concentration'!AC64*HRT!B64/1000</f>
        <v>16.468574640626773</v>
      </c>
      <c r="AA64" s="139">
        <f>'Effluent Concentration'!AV64*HRT!D64/1000</f>
        <v>739.07003932890507</v>
      </c>
      <c r="AB64" s="139">
        <f>'Effluent Concentration'!AW64*HRT!D64/1000</f>
        <v>34.937330683368259</v>
      </c>
      <c r="AC64" s="139">
        <f>'Effluent Concentration'!AX64*HRT!D64/1000</f>
        <v>291.18383811946785</v>
      </c>
      <c r="AD64" s="139">
        <f>'Effluent Concentration'!AY64*HRT!D64/1000</f>
        <v>7.1081000895739948</v>
      </c>
      <c r="AE64" s="139">
        <f>'Effluent Concentration'!AZ64*HRT!D64/1000</f>
        <v>2.5517141267501477</v>
      </c>
      <c r="AF64" s="139">
        <f>'Effluent Concentration'!BA64*HRT!D64/1000</f>
        <v>1065.7341365452085</v>
      </c>
      <c r="AG64" s="139">
        <f>'Effluent Concentration'!BB64*HRT!D64/1000</f>
        <v>7.1412579949717143</v>
      </c>
      <c r="AH64" s="139">
        <f>'Effluent Concentration'!BC64*HRT!D64/1000</f>
        <v>29.724000806373457</v>
      </c>
      <c r="AI64" s="139">
        <f>'Effluent Concentration'!BD64*HRT!D64/1000</f>
        <v>2.6339919937464162</v>
      </c>
      <c r="AJ64" s="139">
        <f>'Effluent Concentration'!BE64*HRT!D64/1000</f>
        <v>1.3289805280388134</v>
      </c>
      <c r="AK64" s="139">
        <f>'Effluent Concentration'!BF64*HRT!D64/1000</f>
        <v>3.1630405060090681</v>
      </c>
      <c r="AL64" s="139">
        <f>Gas!S64*Constants!$E$17</f>
        <v>6.8512852962307944</v>
      </c>
      <c r="AM64" s="139">
        <f>Gas!W64*Constants!$E$19</f>
        <v>0.12365734437099485</v>
      </c>
    </row>
    <row r="65" spans="7:9">
      <c r="G65" s="127"/>
      <c r="H65" s="128"/>
      <c r="I65" s="12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CFBB1-9EDF-4108-9B74-46BCD41DBB31}">
  <dimension ref="A2:M64"/>
  <sheetViews>
    <sheetView zoomScale="56" zoomScaleNormal="85" workbookViewId="0">
      <pane xSplit="1" ySplit="3" topLeftCell="B14" activePane="bottomRight" state="frozen"/>
      <selection pane="topRight" activeCell="B1" sqref="B1"/>
      <selection pane="bottomLeft" activeCell="A4" sqref="A4"/>
      <selection pane="bottomRight" activeCell="Y61" sqref="Y61"/>
    </sheetView>
  </sheetViews>
  <sheetFormatPr defaultRowHeight="15"/>
  <cols>
    <col min="2" max="2" width="9.85546875" bestFit="1" customWidth="1"/>
    <col min="3" max="3" width="11" bestFit="1" customWidth="1"/>
    <col min="4" max="4" width="14.28515625" bestFit="1" customWidth="1"/>
    <col min="5" max="5" width="14.7109375" bestFit="1" customWidth="1"/>
    <col min="6" max="6" width="10.140625" bestFit="1" customWidth="1"/>
    <col min="7" max="7" width="11.28515625" bestFit="1" customWidth="1"/>
    <col min="8" max="8" width="15.28515625" bestFit="1" customWidth="1"/>
    <col min="10" max="10" width="8.42578125" bestFit="1" customWidth="1"/>
    <col min="11" max="11" width="9.140625" bestFit="1" customWidth="1"/>
    <col min="12" max="12" width="11.85546875" bestFit="1" customWidth="1"/>
  </cols>
  <sheetData>
    <row r="2" spans="1:13">
      <c r="B2" t="s">
        <v>263</v>
      </c>
      <c r="C2" t="s">
        <v>263</v>
      </c>
      <c r="D2" t="s">
        <v>258</v>
      </c>
      <c r="F2" t="s">
        <v>262</v>
      </c>
      <c r="G2" t="s">
        <v>262</v>
      </c>
      <c r="H2" t="s">
        <v>258</v>
      </c>
      <c r="J2" t="s">
        <v>266</v>
      </c>
      <c r="K2" t="s">
        <v>266</v>
      </c>
      <c r="L2" t="s">
        <v>258</v>
      </c>
    </row>
    <row r="3" spans="1:13">
      <c r="A3" t="s">
        <v>176</v>
      </c>
      <c r="B3" t="s">
        <v>203</v>
      </c>
      <c r="C3" t="s">
        <v>204</v>
      </c>
      <c r="D3" t="s">
        <v>205</v>
      </c>
      <c r="F3" t="s">
        <v>259</v>
      </c>
      <c r="G3" t="s">
        <v>260</v>
      </c>
      <c r="H3" t="s">
        <v>261</v>
      </c>
      <c r="J3" t="s">
        <v>267</v>
      </c>
      <c r="K3" t="s">
        <v>268</v>
      </c>
      <c r="L3" t="s">
        <v>269</v>
      </c>
    </row>
    <row r="4" spans="1:13">
      <c r="A4" s="58">
        <f>Productivities!A4</f>
        <v>0</v>
      </c>
      <c r="B4" s="59"/>
      <c r="D4" s="58"/>
    </row>
    <row r="5" spans="1:13">
      <c r="A5" s="58">
        <f>Productivities!A5</f>
        <v>1.9791666666642413</v>
      </c>
      <c r="B5" s="59"/>
      <c r="D5" s="58"/>
    </row>
    <row r="6" spans="1:13">
      <c r="A6" s="58">
        <f>Productivities!A6</f>
        <v>5.0034722222262644</v>
      </c>
      <c r="B6" s="59"/>
      <c r="D6" s="58"/>
    </row>
    <row r="7" spans="1:13">
      <c r="A7" s="58">
        <f>Productivities!A7</f>
        <v>7.015972222223354</v>
      </c>
      <c r="B7" s="59"/>
      <c r="D7" s="58"/>
    </row>
    <row r="8" spans="1:13">
      <c r="A8" s="58">
        <f>Productivities!A8</f>
        <v>9.0881944444481633</v>
      </c>
      <c r="B8" s="59"/>
      <c r="D8" s="58"/>
    </row>
    <row r="9" spans="1:13">
      <c r="A9" s="58">
        <f>Productivities!A9</f>
        <v>9.2743055555547471</v>
      </c>
      <c r="B9" s="59"/>
      <c r="D9" s="58"/>
    </row>
    <row r="10" spans="1:13">
      <c r="A10" s="58">
        <f>Productivities!A10</f>
        <v>11.993055555554747</v>
      </c>
      <c r="B10" s="59">
        <f>SUM(Productivities!B10:G10)</f>
        <v>232.42643501084723</v>
      </c>
      <c r="C10" s="58">
        <f>SUM(Productivities!H10:R10)+SUM(Productivities!T10:U10)</f>
        <v>230.32658778365024</v>
      </c>
      <c r="D10" s="140">
        <f>C10/B10</f>
        <v>0.9909655404425104</v>
      </c>
      <c r="E10">
        <f>D10*100</f>
        <v>99.096554044251036</v>
      </c>
      <c r="F10">
        <f>SUM(Productivities!V10:Z10)</f>
        <v>512.91723677061179</v>
      </c>
      <c r="G10">
        <f>SUM(Productivities!AA10:AM10)</f>
        <v>454.18138790618605</v>
      </c>
      <c r="H10" s="140">
        <f>G10/F10</f>
        <v>0.88548669326413421</v>
      </c>
      <c r="I10">
        <f>H10*100</f>
        <v>88.548669326413417</v>
      </c>
      <c r="L10" s="153"/>
      <c r="M10" s="153"/>
    </row>
    <row r="11" spans="1:13">
      <c r="A11" s="58">
        <f>Productivities!A11</f>
        <v>14.045138888890506</v>
      </c>
      <c r="B11" s="59">
        <f>SUM(Productivities!B11:G11)</f>
        <v>238.28342916220109</v>
      </c>
      <c r="C11" s="58">
        <f>SUM(Productivities!H11:R11)+SUM(Productivities!T11:U11)</f>
        <v>226.06100739521858</v>
      </c>
      <c r="D11" s="140">
        <f t="shared" ref="D11:D64" si="0">C11/B11</f>
        <v>0.94870637119015677</v>
      </c>
      <c r="E11">
        <f t="shared" ref="E11:E64" si="1">D11*100</f>
        <v>94.870637119015683</v>
      </c>
      <c r="F11">
        <f>SUM(Productivities!V11:Z11)</f>
        <v>504.71765255874766</v>
      </c>
      <c r="G11">
        <f>SUM(Productivities!AA11:AM11)</f>
        <v>434.4797501925915</v>
      </c>
      <c r="H11" s="140">
        <f t="shared" ref="H11:H64" si="2">G11/F11</f>
        <v>0.86083723838452297</v>
      </c>
      <c r="I11">
        <f t="shared" ref="I11:I64" si="3">H11*100</f>
        <v>86.0837238384523</v>
      </c>
      <c r="L11" s="153"/>
      <c r="M11" s="153"/>
    </row>
    <row r="12" spans="1:13">
      <c r="A12" s="58">
        <f>Productivities!A12</f>
        <v>16.038194444445253</v>
      </c>
      <c r="B12" s="59">
        <f>SUM(Productivities!B12:G12)</f>
        <v>247.64990362814245</v>
      </c>
      <c r="C12" s="58">
        <f>SUM(Productivities!H12:R12)+SUM(Productivities!T12:U12)</f>
        <v>233.51029459373777</v>
      </c>
      <c r="D12" s="140">
        <f t="shared" si="0"/>
        <v>0.94290484741865299</v>
      </c>
      <c r="E12">
        <f t="shared" si="1"/>
        <v>94.290484741865299</v>
      </c>
      <c r="F12">
        <f>SUM(Productivities!V12:Z12)</f>
        <v>522.6549088977896</v>
      </c>
      <c r="G12">
        <f>SUM(Productivities!AA12:AM12)</f>
        <v>459.35187421026706</v>
      </c>
      <c r="H12" s="140">
        <f t="shared" si="2"/>
        <v>0.8788817753170628</v>
      </c>
      <c r="I12">
        <f t="shared" si="3"/>
        <v>87.888177531706276</v>
      </c>
      <c r="L12" s="153"/>
      <c r="M12" s="153"/>
    </row>
    <row r="13" spans="1:13">
      <c r="A13" s="58">
        <f>Productivities!A13</f>
        <v>18.993055555554747</v>
      </c>
      <c r="B13" s="59">
        <f>SUM(Productivities!B13:G13)</f>
        <v>231.18405521079058</v>
      </c>
      <c r="C13" s="58">
        <f>SUM(Productivities!H13:R13)+SUM(Productivities!T13:U13)</f>
        <v>229.08461889136032</v>
      </c>
      <c r="D13" s="140">
        <f t="shared" si="0"/>
        <v>0.99091876679161106</v>
      </c>
      <c r="E13">
        <f t="shared" si="1"/>
        <v>99.091876679161103</v>
      </c>
      <c r="F13">
        <f>SUM(Productivities!V13:Z13)</f>
        <v>475.92007697062206</v>
      </c>
      <c r="G13">
        <f>SUM(Productivities!AA13:AM13)</f>
        <v>453.20423779545331</v>
      </c>
      <c r="H13" s="140">
        <f t="shared" si="2"/>
        <v>0.95226963459965364</v>
      </c>
      <c r="I13">
        <f t="shared" si="3"/>
        <v>95.226963459965361</v>
      </c>
      <c r="L13" s="153"/>
      <c r="M13" s="153"/>
    </row>
    <row r="14" spans="1:13">
      <c r="A14" s="58">
        <f>Productivities!A14</f>
        <v>21.045138888890506</v>
      </c>
      <c r="B14" s="59">
        <f>SUM(Productivities!B14:G14)</f>
        <v>240.75578609358587</v>
      </c>
      <c r="C14" s="58">
        <f>SUM(Productivities!H14:R14)+SUM(Productivities!T14:U14)</f>
        <v>235.19806777916216</v>
      </c>
      <c r="D14" s="140">
        <f t="shared" si="0"/>
        <v>0.97691553584401358</v>
      </c>
      <c r="E14">
        <f t="shared" si="1"/>
        <v>97.691553584401362</v>
      </c>
      <c r="F14">
        <f>SUM(Productivities!V14:Z14)</f>
        <v>534.9506880326943</v>
      </c>
      <c r="G14">
        <f>SUM(Productivities!AA14:AM14)</f>
        <v>504.69287093659142</v>
      </c>
      <c r="H14" s="140">
        <f t="shared" si="2"/>
        <v>0.9434381191145349</v>
      </c>
      <c r="I14">
        <f t="shared" si="3"/>
        <v>94.343811911453486</v>
      </c>
      <c r="L14" s="153"/>
      <c r="M14" s="153"/>
    </row>
    <row r="15" spans="1:13">
      <c r="A15" s="58">
        <f>Productivities!A15</f>
        <v>23.013888888890506</v>
      </c>
      <c r="B15" s="59">
        <f>SUM(Productivities!B15:G15)</f>
        <v>236.69082095808844</v>
      </c>
      <c r="C15" s="58">
        <f>SUM(Productivities!H15:R15)+SUM(Productivities!T15:U15)</f>
        <v>233.10277646790018</v>
      </c>
      <c r="D15" s="140">
        <f t="shared" si="0"/>
        <v>0.98484079578724515</v>
      </c>
      <c r="E15">
        <f t="shared" si="1"/>
        <v>98.484079578724518</v>
      </c>
      <c r="F15">
        <f>SUM(Productivities!V15:Z15)</f>
        <v>526.63989210830402</v>
      </c>
      <c r="G15">
        <f>SUM(Productivities!AA15:AM15)</f>
        <v>498.5557359613365</v>
      </c>
      <c r="H15" s="140">
        <f t="shared" si="2"/>
        <v>0.94667294185683903</v>
      </c>
      <c r="I15">
        <f t="shared" si="3"/>
        <v>94.6672941856839</v>
      </c>
      <c r="L15" s="153"/>
      <c r="M15" s="153"/>
    </row>
    <row r="16" spans="1:13">
      <c r="A16" s="58">
        <f>Productivities!A16</f>
        <v>26.003472222226264</v>
      </c>
      <c r="B16" s="59">
        <f>SUM(Productivities!B16:G16)</f>
        <v>230.37476212741484</v>
      </c>
      <c r="C16" s="58">
        <f>SUM(Productivities!H16:R16)+SUM(Productivities!T16:U16)</f>
        <v>231.77571544332028</v>
      </c>
      <c r="D16" s="140">
        <f t="shared" si="0"/>
        <v>1.0060811926747888</v>
      </c>
      <c r="E16">
        <f t="shared" si="1"/>
        <v>100.60811926747888</v>
      </c>
      <c r="F16">
        <f>SUM(Productivities!V16:Z16)</f>
        <v>522.93768069640748</v>
      </c>
      <c r="G16">
        <f>SUM(Productivities!AA16:AM16)</f>
        <v>486.32757300600656</v>
      </c>
      <c r="H16" s="140">
        <f t="shared" si="2"/>
        <v>0.92999145205668399</v>
      </c>
      <c r="I16">
        <f t="shared" si="3"/>
        <v>92.999145205668398</v>
      </c>
      <c r="L16" s="153"/>
      <c r="M16" s="153"/>
    </row>
    <row r="17" spans="1:13">
      <c r="A17" s="58">
        <f>Productivities!A17</f>
        <v>28.02986111111386</v>
      </c>
      <c r="B17" s="59">
        <f>SUM(Productivities!B17:G17)</f>
        <v>223.79957539300739</v>
      </c>
      <c r="C17" s="58">
        <f>SUM(Productivities!H17:R17)+SUM(Productivities!T17:U17)</f>
        <v>227.96248585150499</v>
      </c>
      <c r="D17" s="140">
        <f t="shared" si="0"/>
        <v>1.0186010650430737</v>
      </c>
      <c r="E17">
        <f t="shared" si="1"/>
        <v>101.86010650430737</v>
      </c>
      <c r="F17">
        <f>SUM(Productivities!V17:Z17)</f>
        <v>510.23766650580461</v>
      </c>
      <c r="G17">
        <f>SUM(Productivities!AA17:AM17)</f>
        <v>472.54151847628481</v>
      </c>
      <c r="H17" s="140">
        <f t="shared" si="2"/>
        <v>0.92612041308578896</v>
      </c>
      <c r="I17">
        <f t="shared" si="3"/>
        <v>92.612041308578895</v>
      </c>
      <c r="L17" s="153"/>
      <c r="M17" s="153"/>
    </row>
    <row r="18" spans="1:13">
      <c r="A18" s="58">
        <f>Productivities!A18</f>
        <v>29.149305555554747</v>
      </c>
      <c r="B18" s="59">
        <f>SUM(Productivities!B18:G18)</f>
        <v>283.31212986598752</v>
      </c>
      <c r="C18" s="58">
        <f>SUM(Productivities!H18:R18)+SUM(Productivities!T18:U18)</f>
        <v>200.98160259587399</v>
      </c>
      <c r="D18" s="140">
        <f t="shared" si="0"/>
        <v>0.70939992117860406</v>
      </c>
      <c r="E18">
        <f t="shared" si="1"/>
        <v>70.939992117860413</v>
      </c>
      <c r="F18">
        <f>SUM(Productivities!V18:Z18)</f>
        <v>775.00209013758501</v>
      </c>
      <c r="G18">
        <f>SUM(Productivities!AA18:AM18)</f>
        <v>349.94021877299184</v>
      </c>
      <c r="H18" s="140">
        <f t="shared" si="2"/>
        <v>0.45153454839182106</v>
      </c>
      <c r="I18">
        <f t="shared" si="3"/>
        <v>45.153454839182103</v>
      </c>
      <c r="L18" s="153"/>
      <c r="M18" s="153"/>
    </row>
    <row r="19" spans="1:13">
      <c r="A19" s="58">
        <f>Productivities!A19</f>
        <v>29.990972222221899</v>
      </c>
      <c r="B19" s="59">
        <f>SUM(Productivities!B19:G19)</f>
        <v>301.92279358710005</v>
      </c>
      <c r="C19" s="58">
        <f>SUM(Productivities!H19:R19)+SUM(Productivities!T19:U19)</f>
        <v>215.59890928948661</v>
      </c>
      <c r="D19" s="140">
        <f t="shared" si="0"/>
        <v>0.71408622955553591</v>
      </c>
      <c r="E19">
        <f t="shared" si="1"/>
        <v>71.408622955553597</v>
      </c>
      <c r="F19">
        <f>SUM(Productivities!V19:Z19)</f>
        <v>832.305506060629</v>
      </c>
      <c r="G19">
        <f>SUM(Productivities!AA19:AM19)</f>
        <v>413.14866782093554</v>
      </c>
      <c r="H19" s="140">
        <f t="shared" si="2"/>
        <v>0.49639064599776883</v>
      </c>
      <c r="I19">
        <f t="shared" si="3"/>
        <v>49.63906459977688</v>
      </c>
      <c r="L19" s="153"/>
      <c r="M19" s="153"/>
    </row>
    <row r="20" spans="1:13">
      <c r="A20" s="58">
        <f>Productivities!A20</f>
        <v>32.990972222221899</v>
      </c>
      <c r="B20" s="59">
        <f>SUM(Productivities!B20:G20)</f>
        <v>306.90917600276561</v>
      </c>
      <c r="C20" s="58">
        <f>SUM(Productivities!H20:R20)+SUM(Productivities!T20:U20)</f>
        <v>317.44644691736681</v>
      </c>
      <c r="D20" s="140">
        <f t="shared" si="0"/>
        <v>1.0343335153801536</v>
      </c>
      <c r="E20">
        <f t="shared" si="1"/>
        <v>103.43335153801536</v>
      </c>
      <c r="F20">
        <f>SUM(Productivities!V20:Z20)</f>
        <v>850.34925338205142</v>
      </c>
      <c r="G20">
        <f>SUM(Productivities!AA20:AM20)</f>
        <v>873.91295198936245</v>
      </c>
      <c r="H20" s="140">
        <f t="shared" si="2"/>
        <v>1.0277106124496402</v>
      </c>
      <c r="I20">
        <f t="shared" si="3"/>
        <v>102.77106124496402</v>
      </c>
      <c r="L20" s="153"/>
      <c r="M20" s="153"/>
    </row>
    <row r="21" spans="1:13">
      <c r="A21" s="58">
        <f>Productivities!A21</f>
        <v>35.002083333332848</v>
      </c>
      <c r="B21" s="59">
        <f>SUM(Productivities!B21:G21)</f>
        <v>299.9944306752447</v>
      </c>
      <c r="C21" s="58">
        <f>SUM(Productivities!H21:R21)+SUM(Productivities!T21:U21)</f>
        <v>338.15806071097933</v>
      </c>
      <c r="D21" s="140">
        <f t="shared" si="0"/>
        <v>1.1272144617812863</v>
      </c>
      <c r="E21">
        <f t="shared" si="1"/>
        <v>112.72144617812863</v>
      </c>
      <c r="F21">
        <f>SUM(Productivities!V21:Z21)</f>
        <v>848.43570370464079</v>
      </c>
      <c r="G21">
        <f>SUM(Productivities!AA21:AM21)</f>
        <v>979.28445849403306</v>
      </c>
      <c r="H21" s="140">
        <f t="shared" si="2"/>
        <v>1.1542235365839149</v>
      </c>
      <c r="I21">
        <f t="shared" si="3"/>
        <v>115.42235365839149</v>
      </c>
      <c r="L21" s="153"/>
      <c r="M21" s="153"/>
    </row>
    <row r="22" spans="1:13">
      <c r="A22" s="58">
        <f>Productivities!A22</f>
        <v>37.01875000000291</v>
      </c>
      <c r="B22" s="59">
        <f>SUM(Productivities!B22:G22)</f>
        <v>295.46248415061291</v>
      </c>
      <c r="C22" s="58">
        <f>SUM(Productivities!H22:R22)+SUM(Productivities!T22:U22)</f>
        <v>341.8855605250003</v>
      </c>
      <c r="D22" s="140">
        <f t="shared" si="0"/>
        <v>1.1571200367716501</v>
      </c>
      <c r="E22">
        <f t="shared" si="1"/>
        <v>115.71200367716501</v>
      </c>
      <c r="F22">
        <f>SUM(Productivities!V22:Z22)</f>
        <v>880.8351326648567</v>
      </c>
      <c r="G22">
        <f>SUM(Productivities!AA22:AM22)</f>
        <v>1003.3226935937438</v>
      </c>
      <c r="H22" s="140">
        <f t="shared" si="2"/>
        <v>1.1390584416839917</v>
      </c>
      <c r="I22">
        <f t="shared" si="3"/>
        <v>113.90584416839917</v>
      </c>
      <c r="L22" s="153"/>
      <c r="M22" s="153"/>
    </row>
    <row r="23" spans="1:13">
      <c r="A23" s="58">
        <f>Productivities!A23</f>
        <v>40.011111111110949</v>
      </c>
      <c r="B23" s="59">
        <f>SUM(Productivities!B23:G23)</f>
        <v>286.81536813894388</v>
      </c>
      <c r="C23" s="58">
        <f>SUM(Productivities!H23:R23)+SUM(Productivities!T23:U23)</f>
        <v>332.28973114626427</v>
      </c>
      <c r="D23" s="140">
        <f t="shared" si="0"/>
        <v>1.158549255231299</v>
      </c>
      <c r="E23">
        <f t="shared" si="1"/>
        <v>115.85492552312991</v>
      </c>
      <c r="F23">
        <f>SUM(Productivities!V23:Z23)</f>
        <v>874.76520145673703</v>
      </c>
      <c r="G23">
        <f>SUM(Productivities!AA23:AM23)</f>
        <v>1004.9938629835806</v>
      </c>
      <c r="H23" s="140">
        <f t="shared" si="2"/>
        <v>1.1488727047097611</v>
      </c>
      <c r="I23">
        <f t="shared" si="3"/>
        <v>114.88727047097611</v>
      </c>
      <c r="L23" s="153"/>
      <c r="M23" s="153"/>
    </row>
    <row r="24" spans="1:13">
      <c r="A24" s="58">
        <f>Productivities!A24</f>
        <v>42.029166666667152</v>
      </c>
      <c r="B24" s="59">
        <f>SUM(Productivities!B24:G24)</f>
        <v>280.50088371082137</v>
      </c>
      <c r="C24" s="58">
        <f>SUM(Productivities!H24:R24)+SUM(Productivities!T24:U24)</f>
        <v>319.47731874314042</v>
      </c>
      <c r="D24" s="140">
        <f t="shared" si="0"/>
        <v>1.1389529848059277</v>
      </c>
      <c r="E24">
        <f t="shared" si="1"/>
        <v>113.89529848059277</v>
      </c>
      <c r="F24">
        <f>SUM(Productivities!V24:Z24)</f>
        <v>811.51011532400844</v>
      </c>
      <c r="G24">
        <f>SUM(Productivities!AA24:AM24)</f>
        <v>959.55022620445254</v>
      </c>
      <c r="H24" s="140">
        <f t="shared" si="2"/>
        <v>1.1824254659121984</v>
      </c>
      <c r="I24">
        <f t="shared" si="3"/>
        <v>118.24254659121985</v>
      </c>
      <c r="L24" s="153"/>
      <c r="M24" s="153"/>
    </row>
    <row r="25" spans="1:13">
      <c r="A25" s="58">
        <f>Productivities!A25</f>
        <v>44.022222222221899</v>
      </c>
      <c r="B25" s="59">
        <f>SUM(Productivities!B25:G25)</f>
        <v>287.36123080123235</v>
      </c>
      <c r="C25" s="58">
        <f>SUM(Productivities!H25:R25)+SUM(Productivities!T25:U25)</f>
        <v>321.35288961431195</v>
      </c>
      <c r="D25" s="140">
        <f t="shared" si="0"/>
        <v>1.1182889519170789</v>
      </c>
      <c r="E25">
        <f t="shared" si="1"/>
        <v>111.82889519170789</v>
      </c>
      <c r="F25">
        <f>SUM(Productivities!V25:Z25)</f>
        <v>812.8625177091493</v>
      </c>
      <c r="G25">
        <f>SUM(Productivities!AA25:AM25)</f>
        <v>957.28845402184595</v>
      </c>
      <c r="H25" s="140">
        <f t="shared" si="2"/>
        <v>1.1776757239584932</v>
      </c>
      <c r="I25">
        <f t="shared" si="3"/>
        <v>117.76757239584931</v>
      </c>
      <c r="L25" s="153"/>
      <c r="M25" s="153"/>
    </row>
    <row r="26" spans="1:13">
      <c r="A26" s="58">
        <f>Productivities!A26</f>
        <v>46.997222222220444</v>
      </c>
      <c r="B26" s="59">
        <f>SUM(Productivities!B26:G26)</f>
        <v>354.49974269757001</v>
      </c>
      <c r="C26" s="58">
        <f>SUM(Productivities!H26:R26)+SUM(Productivities!T26:U26)</f>
        <v>340.22330946709258</v>
      </c>
      <c r="D26" s="140">
        <f t="shared" si="0"/>
        <v>0.959727944731805</v>
      </c>
      <c r="E26">
        <f t="shared" si="1"/>
        <v>95.9727944731805</v>
      </c>
      <c r="F26">
        <f>SUM(Productivities!V26:Z26)</f>
        <v>1054.6979087098516</v>
      </c>
      <c r="G26">
        <f>SUM(Productivities!AA26:AM26)</f>
        <v>1023.6383083543247</v>
      </c>
      <c r="H26" s="140">
        <f t="shared" si="2"/>
        <v>0.97055118807098029</v>
      </c>
      <c r="I26">
        <f t="shared" si="3"/>
        <v>97.055118807098026</v>
      </c>
      <c r="L26" s="153"/>
      <c r="M26" s="153"/>
    </row>
    <row r="27" spans="1:13">
      <c r="A27" s="58">
        <f>Productivities!A27</f>
        <v>48.994444444448163</v>
      </c>
      <c r="B27" s="59">
        <f>SUM(Productivities!B27:G27)</f>
        <v>347.87341545365518</v>
      </c>
      <c r="C27" s="58">
        <f>SUM(Productivities!H27:R27)+SUM(Productivities!T27:U27)</f>
        <v>334.52193822911255</v>
      </c>
      <c r="D27" s="140">
        <f t="shared" si="0"/>
        <v>0.96161972536150475</v>
      </c>
      <c r="E27">
        <f t="shared" si="1"/>
        <v>96.161972536150472</v>
      </c>
      <c r="F27">
        <f>SUM(Productivities!V27:Z27)</f>
        <v>1044.6241432931129</v>
      </c>
      <c r="G27">
        <f>SUM(Productivities!AA27:AM27)</f>
        <v>1017.2030407152669</v>
      </c>
      <c r="H27" s="140">
        <f t="shared" si="2"/>
        <v>0.97375026917202712</v>
      </c>
      <c r="I27">
        <f t="shared" si="3"/>
        <v>97.375026917202717</v>
      </c>
      <c r="L27" s="153"/>
      <c r="M27" s="153"/>
    </row>
    <row r="28" spans="1:13">
      <c r="A28" s="58">
        <f>Productivities!A28</f>
        <v>50.971527777779556</v>
      </c>
      <c r="B28" s="59">
        <f>SUM(Productivities!B28:G28)</f>
        <v>329.32423717003621</v>
      </c>
      <c r="C28" s="58">
        <f>SUM(Productivities!H28:R28)+SUM(Productivities!T28:U28)</f>
        <v>311.68493420554131</v>
      </c>
      <c r="D28" s="140">
        <f t="shared" si="0"/>
        <v>0.94643788408629215</v>
      </c>
      <c r="E28">
        <f t="shared" si="1"/>
        <v>94.64378840862922</v>
      </c>
      <c r="F28">
        <f>SUM(Productivities!V28:Z28)</f>
        <v>1008.3513220897244</v>
      </c>
      <c r="G28">
        <f>SUM(Productivities!AA28:AM28)</f>
        <v>938.92051098251818</v>
      </c>
      <c r="H28" s="140">
        <f t="shared" si="2"/>
        <v>0.93114422564219324</v>
      </c>
      <c r="I28">
        <f t="shared" si="3"/>
        <v>93.114422564219325</v>
      </c>
      <c r="L28" s="153"/>
      <c r="M28" s="153"/>
    </row>
    <row r="29" spans="1:13">
      <c r="A29" s="58">
        <f>Productivities!A29</f>
        <v>53.979166666664241</v>
      </c>
      <c r="B29" s="59">
        <f>SUM(Productivities!B29:G29)</f>
        <v>323.74745302136262</v>
      </c>
      <c r="C29" s="58">
        <f>SUM(Productivities!H29:R29)+SUM(Productivities!T29:U29)</f>
        <v>315.41173337789456</v>
      </c>
      <c r="D29" s="140">
        <f t="shared" si="0"/>
        <v>0.97425240085852349</v>
      </c>
      <c r="E29">
        <f t="shared" si="1"/>
        <v>97.425240085852352</v>
      </c>
      <c r="F29">
        <f>SUM(Productivities!V29:Z29)</f>
        <v>981.76510240509924</v>
      </c>
      <c r="G29">
        <f>SUM(Productivities!AA29:AM29)</f>
        <v>957.09513628370962</v>
      </c>
      <c r="H29" s="140">
        <f t="shared" si="2"/>
        <v>0.97487182416552198</v>
      </c>
      <c r="I29">
        <f t="shared" si="3"/>
        <v>97.487182416552201</v>
      </c>
      <c r="L29" s="153"/>
      <c r="M29" s="153"/>
    </row>
    <row r="30" spans="1:13">
      <c r="A30" s="58">
        <f>Productivities!A30</f>
        <v>56.019444444442343</v>
      </c>
      <c r="B30" s="59">
        <f>SUM(Productivities!B30:G30)</f>
        <v>371.84474940755933</v>
      </c>
      <c r="C30" s="58">
        <f>SUM(Productivities!H30:R30)+SUM(Productivities!T30:U30)</f>
        <v>345.87795115356016</v>
      </c>
      <c r="D30" s="140">
        <f t="shared" si="0"/>
        <v>0.93016763502679356</v>
      </c>
      <c r="E30">
        <f t="shared" si="1"/>
        <v>93.016763502679353</v>
      </c>
      <c r="F30">
        <f>SUM(Productivities!V30:Z30)</f>
        <v>1112.2817899229167</v>
      </c>
      <c r="G30">
        <f>SUM(Productivities!AA30:AM30)</f>
        <v>1026.9361663785135</v>
      </c>
      <c r="H30" s="140">
        <f t="shared" si="2"/>
        <v>0.92326978260579284</v>
      </c>
      <c r="I30">
        <f t="shared" si="3"/>
        <v>92.326978260579281</v>
      </c>
      <c r="L30" s="153"/>
      <c r="M30" s="153"/>
    </row>
    <row r="31" spans="1:13">
      <c r="A31" s="58">
        <f>Productivities!A31</f>
        <v>57.995833333334303</v>
      </c>
      <c r="B31" s="59">
        <f>SUM(Productivities!B31:G31)</f>
        <v>387.52457701132334</v>
      </c>
      <c r="C31" s="58">
        <f>SUM(Productivities!H31:R31)+SUM(Productivities!T31:U31)</f>
        <v>377.81279239199296</v>
      </c>
      <c r="D31" s="140">
        <f t="shared" si="0"/>
        <v>0.97493891950226785</v>
      </c>
      <c r="E31">
        <f t="shared" si="1"/>
        <v>97.493891950226782</v>
      </c>
      <c r="F31">
        <f>SUM(Productivities!V31:Z31)</f>
        <v>1114.7475381161426</v>
      </c>
      <c r="G31">
        <f>SUM(Productivities!AA31:AM31)</f>
        <v>1102.7311829110761</v>
      </c>
      <c r="H31" s="140">
        <f t="shared" si="2"/>
        <v>0.98922055910042783</v>
      </c>
      <c r="I31">
        <f t="shared" si="3"/>
        <v>98.922055910042786</v>
      </c>
      <c r="L31" s="153"/>
      <c r="M31" s="153"/>
    </row>
    <row r="32" spans="1:13">
      <c r="A32" s="58">
        <f>Productivities!A32</f>
        <v>61.00138888888614</v>
      </c>
      <c r="B32" s="59">
        <f>SUM(Productivities!B32:G32)</f>
        <v>474.14037402532142</v>
      </c>
      <c r="C32" s="58">
        <f>SUM(Productivities!H32:R32)+SUM(Productivities!T32:U32)</f>
        <v>450.46795755773621</v>
      </c>
      <c r="D32" s="140">
        <f t="shared" si="0"/>
        <v>0.9500729788804676</v>
      </c>
      <c r="E32">
        <f t="shared" si="1"/>
        <v>95.007297888046764</v>
      </c>
      <c r="F32">
        <f>SUM(Productivities!V32:Z32)</f>
        <v>1445.5064819478162</v>
      </c>
      <c r="G32">
        <f>SUM(Productivities!AA32:AM32)</f>
        <v>1418.9311419333894</v>
      </c>
      <c r="H32" s="140">
        <f t="shared" si="2"/>
        <v>0.98161520522646395</v>
      </c>
      <c r="I32">
        <f t="shared" si="3"/>
        <v>98.161520522646398</v>
      </c>
      <c r="L32" s="153"/>
      <c r="M32" s="153"/>
    </row>
    <row r="33" spans="1:13">
      <c r="A33" s="58">
        <f>Productivities!A33</f>
        <v>62.996527777781012</v>
      </c>
      <c r="B33" s="59">
        <f>SUM(Productivities!B33:G33)</f>
        <v>455.82109380869355</v>
      </c>
      <c r="C33" s="58">
        <f>SUM(Productivities!H33:R33)+SUM(Productivities!T33:U33)</f>
        <v>422.23923698137935</v>
      </c>
      <c r="D33" s="140">
        <f t="shared" si="0"/>
        <v>0.92632667227680254</v>
      </c>
      <c r="E33">
        <f t="shared" si="1"/>
        <v>92.632667227680258</v>
      </c>
      <c r="F33">
        <f>SUM(Productivities!V33:Z33)</f>
        <v>1363.4472202974187</v>
      </c>
      <c r="G33">
        <f>SUM(Productivities!AA33:AM33)</f>
        <v>1303.7597927687057</v>
      </c>
      <c r="H33" s="140">
        <f t="shared" si="2"/>
        <v>0.95622314773894002</v>
      </c>
      <c r="I33">
        <f t="shared" si="3"/>
        <v>95.622314773894004</v>
      </c>
      <c r="L33" s="153"/>
      <c r="M33" s="153"/>
    </row>
    <row r="34" spans="1:13">
      <c r="A34" s="58">
        <f>Productivities!A34</f>
        <v>65.071527777778101</v>
      </c>
      <c r="B34" s="59">
        <f>SUM(Productivities!B34:G34)</f>
        <v>442.2711385795551</v>
      </c>
      <c r="C34" s="58">
        <f>SUM(Productivities!H34:R34)+SUM(Productivities!T34:U34)</f>
        <v>418.19710558127099</v>
      </c>
      <c r="D34" s="140">
        <f t="shared" si="0"/>
        <v>0.94556725298511946</v>
      </c>
      <c r="E34">
        <f t="shared" si="1"/>
        <v>94.55672529851195</v>
      </c>
      <c r="F34">
        <f>SUM(Productivities!V34:Z34)</f>
        <v>1301.3663809520165</v>
      </c>
      <c r="G34">
        <f>SUM(Productivities!AA34:AM34)</f>
        <v>1307.8182365831215</v>
      </c>
      <c r="H34" s="140">
        <f t="shared" si="2"/>
        <v>1.0049577549608937</v>
      </c>
      <c r="I34">
        <f t="shared" si="3"/>
        <v>100.49577549608937</v>
      </c>
      <c r="L34" s="153"/>
      <c r="M34" s="153"/>
    </row>
    <row r="35" spans="1:13">
      <c r="A35" s="58">
        <f>Productivities!A35</f>
        <v>67.984722222223354</v>
      </c>
      <c r="B35" s="59">
        <f>SUM(Productivities!B35:G35)</f>
        <v>416.87783032950443</v>
      </c>
      <c r="C35" s="58">
        <f>SUM(Productivities!H35:R35)+SUM(Productivities!T35:U35)</f>
        <v>396.36907671247184</v>
      </c>
      <c r="D35" s="140">
        <f t="shared" si="0"/>
        <v>0.95080392353600984</v>
      </c>
      <c r="E35">
        <f t="shared" si="1"/>
        <v>95.080392353600985</v>
      </c>
      <c r="F35">
        <f>SUM(Productivities!V35:Z35)</f>
        <v>1205.7967846922477</v>
      </c>
      <c r="G35">
        <f>SUM(Productivities!AA35:AM35)</f>
        <v>1217.4752628022175</v>
      </c>
      <c r="H35" s="140">
        <f t="shared" si="2"/>
        <v>1.0096852788614381</v>
      </c>
      <c r="I35">
        <f t="shared" si="3"/>
        <v>100.96852788614382</v>
      </c>
      <c r="L35" s="153"/>
      <c r="M35" s="153"/>
    </row>
    <row r="36" spans="1:13">
      <c r="A36" s="58">
        <f>Productivities!A36</f>
        <v>70.167361111110949</v>
      </c>
      <c r="B36" s="59">
        <f>SUM(Productivities!B36:G36)</f>
        <v>472.45309541729512</v>
      </c>
      <c r="C36" s="58">
        <f>SUM(Productivities!H36:R36)+SUM(Productivities!T36:U36)</f>
        <v>460.67932220697094</v>
      </c>
      <c r="D36" s="140">
        <f t="shared" si="0"/>
        <v>0.97507948762633256</v>
      </c>
      <c r="E36">
        <f t="shared" si="1"/>
        <v>97.507948762633262</v>
      </c>
      <c r="F36">
        <f>SUM(Productivities!V36:Z36)</f>
        <v>1473.6236706829279</v>
      </c>
      <c r="G36">
        <f>SUM(Productivities!AA36:AM36)</f>
        <v>1503.5690524340957</v>
      </c>
      <c r="H36" s="140">
        <f t="shared" si="2"/>
        <v>1.0203209152695614</v>
      </c>
      <c r="I36">
        <f t="shared" si="3"/>
        <v>102.03209152695614</v>
      </c>
      <c r="L36" s="153"/>
      <c r="M36" s="153"/>
    </row>
    <row r="37" spans="1:13">
      <c r="A37" s="58">
        <f>Productivities!A37</f>
        <v>72.156944444446708</v>
      </c>
      <c r="B37" s="59">
        <f>SUM(Productivities!B37:G37)</f>
        <v>448.11154720469949</v>
      </c>
      <c r="C37" s="58">
        <f>SUM(Productivities!H37:R37)+SUM(Productivities!T37:U37)</f>
        <v>442.70198808276791</v>
      </c>
      <c r="D37" s="140">
        <f t="shared" si="0"/>
        <v>0.98792809702031514</v>
      </c>
      <c r="E37">
        <f t="shared" si="1"/>
        <v>98.792809702031519</v>
      </c>
      <c r="F37">
        <f>SUM(Productivities!V37:Z37)</f>
        <v>1382.1460752441046</v>
      </c>
      <c r="G37">
        <f>SUM(Productivities!AA37:AM37)</f>
        <v>1420.9167127401245</v>
      </c>
      <c r="H37" s="140">
        <f t="shared" si="2"/>
        <v>1.0280510419198436</v>
      </c>
      <c r="I37">
        <f t="shared" si="3"/>
        <v>102.80510419198437</v>
      </c>
      <c r="L37" s="153"/>
      <c r="M37" s="153"/>
    </row>
    <row r="38" spans="1:13">
      <c r="A38" s="58">
        <f>Productivities!A38</f>
        <v>75.146527777775191</v>
      </c>
      <c r="B38" s="59">
        <f>SUM(Productivities!B38:G38)</f>
        <v>457.61655391473971</v>
      </c>
      <c r="C38" s="58">
        <f>SUM(Productivities!H38:R38)+SUM(Productivities!T38:U38)</f>
        <v>418.64951079538378</v>
      </c>
      <c r="D38" s="140">
        <f t="shared" si="0"/>
        <v>0.91484782885145355</v>
      </c>
      <c r="E38">
        <f t="shared" si="1"/>
        <v>91.48478288514535</v>
      </c>
      <c r="F38">
        <f>SUM(Productivities!V38:Z38)</f>
        <v>1405.981891672255</v>
      </c>
      <c r="G38">
        <f>SUM(Productivities!AA38:AM38)</f>
        <v>1285.7886596363803</v>
      </c>
      <c r="H38" s="140">
        <f t="shared" si="2"/>
        <v>0.91451295870324578</v>
      </c>
      <c r="I38">
        <f t="shared" si="3"/>
        <v>91.451295870324572</v>
      </c>
      <c r="L38" s="153"/>
      <c r="M38" s="153"/>
    </row>
    <row r="39" spans="1:13">
      <c r="A39" s="58">
        <f>Productivities!A39</f>
        <v>77.093055555553292</v>
      </c>
      <c r="B39" s="59">
        <f>SUM(Productivities!B39:G39)</f>
        <v>479.58839361092879</v>
      </c>
      <c r="C39" s="58">
        <f>SUM(Productivities!H39:R39)+SUM(Productivities!T39:U39)</f>
        <v>434.28607092955406</v>
      </c>
      <c r="D39" s="140">
        <f t="shared" si="0"/>
        <v>0.90553915965254417</v>
      </c>
      <c r="E39">
        <f t="shared" si="1"/>
        <v>90.553915965254419</v>
      </c>
      <c r="F39">
        <f>SUM(Productivities!V39:Z39)</f>
        <v>1489.586390208925</v>
      </c>
      <c r="G39">
        <f>SUM(Productivities!AA39:AM39)</f>
        <v>1337.1779036167861</v>
      </c>
      <c r="H39" s="140">
        <f t="shared" si="2"/>
        <v>0.89768402316648277</v>
      </c>
      <c r="I39">
        <f t="shared" si="3"/>
        <v>89.768402316648277</v>
      </c>
      <c r="L39" s="153"/>
      <c r="M39" s="153"/>
    </row>
    <row r="40" spans="1:13">
      <c r="A40" s="58">
        <f>Productivities!A40</f>
        <v>79.150000000001455</v>
      </c>
      <c r="B40" s="59">
        <f>SUM(Productivities!B40:G40)</f>
        <v>434.9921210293632</v>
      </c>
      <c r="C40" s="58">
        <f>SUM(Productivities!H40:R40)+SUM(Productivities!T40:U40)</f>
        <v>396.1741550304522</v>
      </c>
      <c r="D40" s="140">
        <f t="shared" si="0"/>
        <v>0.91076168021836268</v>
      </c>
      <c r="E40">
        <f t="shared" si="1"/>
        <v>91.076168021836267</v>
      </c>
      <c r="F40">
        <f>SUM(Productivities!V40:Z40)</f>
        <v>1292.795460273104</v>
      </c>
      <c r="G40">
        <f>SUM(Productivities!AA40:AM40)</f>
        <v>1151.45209835334</v>
      </c>
      <c r="H40" s="140">
        <f t="shared" si="2"/>
        <v>0.8906684264733532</v>
      </c>
      <c r="I40">
        <f t="shared" si="3"/>
        <v>89.066842647335321</v>
      </c>
      <c r="L40" s="153"/>
      <c r="M40" s="153"/>
    </row>
    <row r="41" spans="1:13">
      <c r="A41" s="58">
        <f>Productivities!A41</f>
        <v>82.143055555556202</v>
      </c>
      <c r="B41" s="59">
        <f>SUM(Productivities!B41:G41)</f>
        <v>484.64226177885666</v>
      </c>
      <c r="C41" s="58">
        <f>SUM(Productivities!H41:R41)+SUM(Productivities!T41:U41)</f>
        <v>437.05818241159193</v>
      </c>
      <c r="D41" s="140">
        <f t="shared" si="0"/>
        <v>0.90181607523741403</v>
      </c>
      <c r="E41">
        <f t="shared" si="1"/>
        <v>90.181607523741405</v>
      </c>
      <c r="F41">
        <f>SUM(Productivities!V41:Z41)</f>
        <v>1474.7409326029272</v>
      </c>
      <c r="G41">
        <f>SUM(Productivities!AA41:AM41)</f>
        <v>1322.0112849826003</v>
      </c>
      <c r="H41" s="140">
        <f t="shared" si="2"/>
        <v>0.89643628637149297</v>
      </c>
      <c r="I41">
        <f t="shared" si="3"/>
        <v>89.643628637149291</v>
      </c>
      <c r="L41" s="153"/>
      <c r="M41" s="153"/>
    </row>
    <row r="42" spans="1:13">
      <c r="A42" s="58">
        <f>Productivities!A42</f>
        <v>84.15763888888614</v>
      </c>
      <c r="B42" s="59">
        <f>SUM(Productivities!B42:G42)</f>
        <v>438.82457417734821</v>
      </c>
      <c r="C42" s="58">
        <f>SUM(Productivities!H42:R42)+SUM(Productivities!T42:U42)</f>
        <v>409.54026103952026</v>
      </c>
      <c r="D42" s="140">
        <f t="shared" si="0"/>
        <v>0.93326646942522207</v>
      </c>
      <c r="E42">
        <f t="shared" si="1"/>
        <v>93.326646942522203</v>
      </c>
      <c r="F42">
        <f>SUM(Productivities!V42:Z42)</f>
        <v>1234.1099616089882</v>
      </c>
      <c r="G42">
        <f>SUM(Productivities!AA42:AM42)</f>
        <v>1163.8044175353843</v>
      </c>
      <c r="H42" s="140">
        <f t="shared" si="2"/>
        <v>0.94303137786689439</v>
      </c>
      <c r="I42">
        <f t="shared" si="3"/>
        <v>94.303137786689433</v>
      </c>
      <c r="L42" s="153"/>
      <c r="M42" s="153"/>
    </row>
    <row r="43" spans="1:13">
      <c r="A43" s="58">
        <f>Productivities!A43</f>
        <v>86.27986111111386</v>
      </c>
      <c r="B43" s="59">
        <f>SUM(Productivities!B43:G43)</f>
        <v>452.34815159587191</v>
      </c>
      <c r="C43" s="58">
        <f>SUM(Productivities!H43:R43)+SUM(Productivities!T43:U43)</f>
        <v>440.84524207034758</v>
      </c>
      <c r="D43" s="140">
        <f t="shared" si="0"/>
        <v>0.97457067198143199</v>
      </c>
      <c r="E43">
        <f t="shared" si="1"/>
        <v>97.457067198143193</v>
      </c>
      <c r="F43">
        <f>SUM(Productivities!V43:Z43)</f>
        <v>1339.9237188641603</v>
      </c>
      <c r="G43">
        <f>SUM(Productivities!AA43:AM43)</f>
        <v>1347.05512200815</v>
      </c>
      <c r="H43" s="140">
        <f t="shared" si="2"/>
        <v>1.0053222456200976</v>
      </c>
      <c r="I43">
        <f t="shared" si="3"/>
        <v>100.53222456200976</v>
      </c>
      <c r="L43" s="153"/>
      <c r="M43" s="153"/>
    </row>
    <row r="44" spans="1:13">
      <c r="A44" s="58">
        <f>Productivities!A44</f>
        <v>89.148611111115315</v>
      </c>
      <c r="B44" s="59">
        <f>SUM(Productivities!B44:G44)</f>
        <v>407.48115746467994</v>
      </c>
      <c r="C44" s="58">
        <f>SUM(Productivities!H44:R44)+SUM(Productivities!T44:U44)</f>
        <v>393.32634908637317</v>
      </c>
      <c r="D44" s="140">
        <f t="shared" si="0"/>
        <v>0.96526266768658209</v>
      </c>
      <c r="E44">
        <f t="shared" si="1"/>
        <v>96.526266768658203</v>
      </c>
      <c r="F44">
        <f>SUM(Productivities!V44:Z44)</f>
        <v>1161.5619146279148</v>
      </c>
      <c r="G44">
        <f>SUM(Productivities!AA44:AM44)</f>
        <v>1120.6343647292179</v>
      </c>
      <c r="H44" s="140">
        <f t="shared" si="2"/>
        <v>0.96476507245693632</v>
      </c>
      <c r="I44">
        <f t="shared" si="3"/>
        <v>96.476507245693625</v>
      </c>
      <c r="L44" s="153"/>
      <c r="M44" s="153"/>
    </row>
    <row r="45" spans="1:13">
      <c r="A45" s="58">
        <f>Productivities!A45</f>
        <v>91.1875</v>
      </c>
      <c r="B45" s="59">
        <f>SUM(Productivities!B45:G45)</f>
        <v>459.41282349100794</v>
      </c>
      <c r="C45" s="58">
        <f>SUM(Productivities!H45:R45)+SUM(Productivities!T45:U45)</f>
        <v>437.69667660819528</v>
      </c>
      <c r="D45" s="140">
        <f t="shared" si="0"/>
        <v>0.95273064709470889</v>
      </c>
      <c r="E45">
        <f t="shared" si="1"/>
        <v>95.273064709470887</v>
      </c>
      <c r="F45">
        <f>SUM(Productivities!V45:Z45)</f>
        <v>1345.231936977113</v>
      </c>
      <c r="G45">
        <f>SUM(Productivities!AA45:AM45)</f>
        <v>1314.0684708484398</v>
      </c>
      <c r="H45" s="140">
        <f t="shared" si="2"/>
        <v>0.97683413151883602</v>
      </c>
      <c r="I45">
        <f t="shared" si="3"/>
        <v>97.683413151883599</v>
      </c>
      <c r="L45" s="153"/>
      <c r="M45" s="153"/>
    </row>
    <row r="46" spans="1:13">
      <c r="A46" s="58">
        <f>Productivities!A46</f>
        <v>93.170833333337214</v>
      </c>
      <c r="B46" s="59">
        <f>SUM(Productivities!B46:G46)</f>
        <v>453.23850350262569</v>
      </c>
      <c r="C46" s="58">
        <f>SUM(Productivities!H46:R46)+SUM(Productivities!T46:U46)</f>
        <v>437.50371141666085</v>
      </c>
      <c r="D46" s="140">
        <f t="shared" si="0"/>
        <v>0.96528363772193571</v>
      </c>
      <c r="E46">
        <f t="shared" si="1"/>
        <v>96.528363772193572</v>
      </c>
      <c r="F46">
        <f>SUM(Productivities!V46:Z46)</f>
        <v>1332.0864952640436</v>
      </c>
      <c r="G46">
        <f>SUM(Productivities!AA46:AM46)</f>
        <v>1308.2231875843281</v>
      </c>
      <c r="H46" s="140">
        <f t="shared" si="2"/>
        <v>0.98208576712956963</v>
      </c>
      <c r="I46">
        <f t="shared" si="3"/>
        <v>98.208576712956969</v>
      </c>
      <c r="L46" s="153"/>
      <c r="M46" s="153"/>
    </row>
    <row r="47" spans="1:13">
      <c r="A47" s="58">
        <f>Productivities!A47</f>
        <v>96.150694444448163</v>
      </c>
      <c r="B47" s="59">
        <f>SUM(Productivities!B47:G47)</f>
        <v>466.27880317170894</v>
      </c>
      <c r="C47" s="58">
        <f>SUM(Productivities!H47:R47)+SUM(Productivities!T47:U47)</f>
        <v>440.23503118982626</v>
      </c>
      <c r="D47" s="140">
        <f t="shared" si="0"/>
        <v>0.94414549448800067</v>
      </c>
      <c r="E47">
        <f t="shared" si="1"/>
        <v>94.414549448800074</v>
      </c>
      <c r="F47">
        <f>SUM(Productivities!V47:Z47)</f>
        <v>1411.4194253900525</v>
      </c>
      <c r="G47">
        <f>SUM(Productivities!AA47:AM47)</f>
        <v>1335.8589918644318</v>
      </c>
      <c r="H47" s="140">
        <f t="shared" si="2"/>
        <v>0.94646493298422663</v>
      </c>
      <c r="I47">
        <f t="shared" si="3"/>
        <v>94.646493298422669</v>
      </c>
      <c r="L47" s="153"/>
      <c r="M47" s="153"/>
    </row>
    <row r="48" spans="1:13">
      <c r="A48" s="58">
        <f>Productivities!A48</f>
        <v>98.159722222226264</v>
      </c>
      <c r="B48" s="59">
        <f>SUM(Productivities!B48:G48)</f>
        <v>406.7053468104275</v>
      </c>
      <c r="C48" s="58">
        <f>SUM(Productivities!H48:R48)+SUM(Productivities!T48:U48)</f>
        <v>376.80511552206951</v>
      </c>
      <c r="D48" s="140">
        <f t="shared" si="0"/>
        <v>0.9264818337824926</v>
      </c>
      <c r="E48">
        <f t="shared" si="1"/>
        <v>92.648183378249257</v>
      </c>
      <c r="F48">
        <f>SUM(Productivities!V48:Z48)</f>
        <v>1166.0578602072937</v>
      </c>
      <c r="G48">
        <f>SUM(Productivities!AA48:AM48)</f>
        <v>1077.8323284209682</v>
      </c>
      <c r="H48" s="140">
        <f t="shared" si="2"/>
        <v>0.92433863292972329</v>
      </c>
      <c r="I48">
        <f t="shared" si="3"/>
        <v>92.433863292972333</v>
      </c>
      <c r="L48" s="153"/>
      <c r="M48" s="153"/>
    </row>
    <row r="49" spans="1:13">
      <c r="A49" s="58">
        <f>Productivities!A49</f>
        <v>100.14930555555475</v>
      </c>
      <c r="B49" s="59">
        <f>SUM(Productivities!B49:G49)</f>
        <v>484.14346504732686</v>
      </c>
      <c r="C49" s="58">
        <f>SUM(Productivities!H49:R49)+SUM(Productivities!T49:U49)</f>
        <v>450.90530007736413</v>
      </c>
      <c r="D49" s="140">
        <f t="shared" si="0"/>
        <v>0.93134645540095529</v>
      </c>
      <c r="E49">
        <f t="shared" si="1"/>
        <v>93.134645540095534</v>
      </c>
      <c r="F49">
        <f>SUM(Productivities!V49:Z49)</f>
        <v>1501.8409826609268</v>
      </c>
      <c r="G49">
        <f>SUM(Productivities!AA49:AM49)</f>
        <v>1429.0248039333715</v>
      </c>
      <c r="H49" s="140">
        <f t="shared" si="2"/>
        <v>0.95151538706944772</v>
      </c>
      <c r="I49">
        <f t="shared" si="3"/>
        <v>95.151538706944777</v>
      </c>
      <c r="L49" s="153"/>
      <c r="M49" s="153"/>
    </row>
    <row r="50" spans="1:13">
      <c r="A50" s="58">
        <f>Productivities!A50</f>
        <v>103.13680555555766</v>
      </c>
      <c r="B50" s="59">
        <f>SUM(Productivities!B50:G50)</f>
        <v>437.97867049253387</v>
      </c>
      <c r="C50" s="58">
        <f>SUM(Productivities!H50:R50)+SUM(Productivities!T50:U50)</f>
        <v>401.28325435749423</v>
      </c>
      <c r="D50" s="140">
        <f t="shared" si="0"/>
        <v>0.91621643105639505</v>
      </c>
      <c r="E50">
        <f t="shared" si="1"/>
        <v>91.621643105639507</v>
      </c>
      <c r="F50">
        <f>SUM(Productivities!V50:Z50)</f>
        <v>1302.0254894427026</v>
      </c>
      <c r="G50">
        <f>SUM(Productivities!AA50:AM50)</f>
        <v>1188.9057495214522</v>
      </c>
      <c r="H50" s="140">
        <f t="shared" si="2"/>
        <v>0.91312018018198071</v>
      </c>
      <c r="I50">
        <f t="shared" si="3"/>
        <v>91.312018018198074</v>
      </c>
      <c r="L50" s="153"/>
      <c r="M50" s="153"/>
    </row>
    <row r="51" spans="1:13">
      <c r="A51" s="58">
        <f>Productivities!A51</f>
        <v>105.14166666667006</v>
      </c>
      <c r="B51" s="59">
        <f>SUM(Productivities!B51:G51)</f>
        <v>441.39122792455089</v>
      </c>
      <c r="C51" s="58">
        <f>SUM(Productivities!H51:R51)+SUM(Productivities!T51:U51)</f>
        <v>407.15444441857881</v>
      </c>
      <c r="D51" s="140">
        <f t="shared" si="0"/>
        <v>0.92243438170043479</v>
      </c>
      <c r="E51">
        <f t="shared" si="1"/>
        <v>92.243438170043476</v>
      </c>
      <c r="F51">
        <f>SUM(Productivities!V51:Z51)</f>
        <v>1282.7269379449731</v>
      </c>
      <c r="G51">
        <f>SUM(Productivities!AA51:AM51)</f>
        <v>1208.3297219671026</v>
      </c>
      <c r="H51" s="140">
        <f t="shared" si="2"/>
        <v>0.94200073782105131</v>
      </c>
      <c r="I51">
        <f t="shared" si="3"/>
        <v>94.200073782105136</v>
      </c>
      <c r="L51" s="153"/>
      <c r="M51" s="153"/>
    </row>
    <row r="52" spans="1:13">
      <c r="A52" s="58">
        <f>Productivities!A52</f>
        <v>107.07916666667006</v>
      </c>
      <c r="B52" s="59">
        <f>SUM(Productivities!B52:G52)</f>
        <v>417.1988501591461</v>
      </c>
      <c r="C52" s="58">
        <f>SUM(Productivities!H52:R52)+SUM(Productivities!T52:U52)</f>
        <v>382.55123070474991</v>
      </c>
      <c r="D52" s="140">
        <f t="shared" si="0"/>
        <v>0.91695178584222037</v>
      </c>
      <c r="E52">
        <f t="shared" si="1"/>
        <v>91.695178584222035</v>
      </c>
      <c r="F52">
        <f>SUM(Productivities!V52:Z52)</f>
        <v>1167.7227358011417</v>
      </c>
      <c r="G52">
        <f>SUM(Productivities!AA52:AM52)</f>
        <v>1087.8962351551975</v>
      </c>
      <c r="H52" s="140">
        <f t="shared" si="2"/>
        <v>0.93163916553258042</v>
      </c>
      <c r="I52">
        <f t="shared" si="3"/>
        <v>93.163916553258048</v>
      </c>
      <c r="L52" s="153"/>
      <c r="M52" s="153"/>
    </row>
    <row r="53" spans="1:13">
      <c r="A53" s="58">
        <f>Productivities!A53</f>
        <v>110.29652777777665</v>
      </c>
      <c r="B53" s="59">
        <f>SUM(Productivities!B53:G53)</f>
        <v>483.15071635030529</v>
      </c>
      <c r="C53" s="58">
        <f>SUM(Productivities!H53:R53)+SUM(Productivities!T53:U53)</f>
        <v>451.53426598526028</v>
      </c>
      <c r="D53" s="140">
        <f t="shared" si="0"/>
        <v>0.93456193006630728</v>
      </c>
      <c r="E53">
        <f t="shared" si="1"/>
        <v>93.456193006630727</v>
      </c>
      <c r="F53">
        <f>SUM(Productivities!V53:Z53)</f>
        <v>1491.7396078393579</v>
      </c>
      <c r="G53">
        <f>SUM(Productivities!AA53:AM53)</f>
        <v>1422.2590903558134</v>
      </c>
      <c r="H53" s="140">
        <f t="shared" si="2"/>
        <v>0.95342315969998259</v>
      </c>
      <c r="I53">
        <f t="shared" si="3"/>
        <v>95.342315969998253</v>
      </c>
      <c r="L53" s="153"/>
      <c r="M53" s="153"/>
    </row>
    <row r="54" spans="1:13">
      <c r="A54" s="58">
        <f>Productivities!A54</f>
        <v>112.15347222222044</v>
      </c>
      <c r="B54" s="59">
        <f>SUM(Productivities!B54:G54)</f>
        <v>484.36268154889154</v>
      </c>
      <c r="C54" s="58">
        <f>SUM(Productivities!H54:R54)+SUM(Productivities!T54:U54)</f>
        <v>437.77754610280613</v>
      </c>
      <c r="D54" s="140">
        <f t="shared" si="0"/>
        <v>0.90382179052870915</v>
      </c>
      <c r="E54">
        <f t="shared" si="1"/>
        <v>90.38217905287091</v>
      </c>
      <c r="F54">
        <f>SUM(Productivities!V54:Z54)</f>
        <v>1532.6055932993077</v>
      </c>
      <c r="G54">
        <f>SUM(Productivities!AA54:AM54)</f>
        <v>1396.4664339606588</v>
      </c>
      <c r="H54" s="140">
        <f t="shared" si="2"/>
        <v>0.91117143253694122</v>
      </c>
      <c r="I54">
        <f t="shared" si="3"/>
        <v>91.117143253694124</v>
      </c>
      <c r="L54" s="153"/>
      <c r="M54" s="153"/>
    </row>
    <row r="55" spans="1:13">
      <c r="A55" s="58">
        <f>Productivities!A55</f>
        <v>113.1916666666657</v>
      </c>
      <c r="B55" s="59">
        <f>SUM(Productivities!B55:G55)</f>
        <v>692.44746897581922</v>
      </c>
      <c r="C55" s="58">
        <f>SUM(Productivities!H55:R55)+SUM(Productivities!T55:U55)</f>
        <v>462.79564447052951</v>
      </c>
      <c r="D55" s="140">
        <f t="shared" si="0"/>
        <v>0.6683476584224336</v>
      </c>
      <c r="E55">
        <f t="shared" si="1"/>
        <v>66.834765842243357</v>
      </c>
      <c r="F55">
        <f>SUM(Productivities!V55:Z55)</f>
        <v>2785.7794128783153</v>
      </c>
      <c r="G55">
        <f>SUM(Productivities!AA55:AM55)</f>
        <v>1580.8875265822799</v>
      </c>
      <c r="H55" s="140">
        <f t="shared" si="2"/>
        <v>0.56748481924808236</v>
      </c>
      <c r="I55">
        <f t="shared" si="3"/>
        <v>56.748481924808239</v>
      </c>
      <c r="L55" s="153"/>
      <c r="M55" s="153"/>
    </row>
    <row r="56" spans="1:13">
      <c r="A56" s="58">
        <f>Productivities!A56</f>
        <v>114.2770833333343</v>
      </c>
      <c r="B56" s="59">
        <f>SUM(Productivities!B56:G56)</f>
        <v>576.38624581374461</v>
      </c>
      <c r="C56" s="58">
        <f>SUM(Productivities!H56:R56)+SUM(Productivities!T56:U56)</f>
        <v>419.3290383866721</v>
      </c>
      <c r="D56" s="140">
        <f t="shared" si="0"/>
        <v>0.72751395688608345</v>
      </c>
      <c r="E56">
        <f t="shared" si="1"/>
        <v>72.751395688608341</v>
      </c>
      <c r="F56">
        <f>SUM(Productivities!V56:Z56)</f>
        <v>2212.450039019634</v>
      </c>
      <c r="G56">
        <f>SUM(Productivities!AA56:AM56)</f>
        <v>1428.7990709225305</v>
      </c>
      <c r="H56" s="140">
        <f t="shared" si="2"/>
        <v>0.64579947376151836</v>
      </c>
      <c r="I56">
        <f t="shared" si="3"/>
        <v>64.579947376151836</v>
      </c>
      <c r="L56" s="153"/>
      <c r="M56" s="153"/>
    </row>
    <row r="57" spans="1:13">
      <c r="A57" s="58">
        <f>Productivities!A57</f>
        <v>117.28819444444525</v>
      </c>
      <c r="B57" s="59">
        <f>SUM(Productivities!B57:G57)</f>
        <v>566.84514715982573</v>
      </c>
      <c r="C57" s="58">
        <f>SUM(Productivities!H57:R57)+SUM(Productivities!T57:U57)</f>
        <v>463.26098070869574</v>
      </c>
      <c r="D57" s="140">
        <f t="shared" si="0"/>
        <v>0.81726196833449516</v>
      </c>
      <c r="E57">
        <f t="shared" si="1"/>
        <v>81.726196833449521</v>
      </c>
      <c r="F57">
        <f>SUM(Productivities!V57:Z57)</f>
        <v>2182.8520080085946</v>
      </c>
      <c r="G57">
        <f>SUM(Productivities!AA57:AM57)</f>
        <v>1732.4310811607957</v>
      </c>
      <c r="H57" s="140">
        <f t="shared" si="2"/>
        <v>0.79365484916280893</v>
      </c>
      <c r="I57">
        <f t="shared" si="3"/>
        <v>79.365484916280892</v>
      </c>
      <c r="L57" s="153"/>
      <c r="M57" s="153"/>
    </row>
    <row r="58" spans="1:13">
      <c r="A58" s="58">
        <f>Productivities!A58</f>
        <v>119.18194444444816</v>
      </c>
      <c r="B58" s="59">
        <f>SUM(Productivities!B58:G58)</f>
        <v>615.012915775583</v>
      </c>
      <c r="C58" s="58">
        <f>SUM(Productivities!H58:R58)+SUM(Productivities!T58:U58)</f>
        <v>520.3285444007289</v>
      </c>
      <c r="D58" s="140">
        <f t="shared" si="0"/>
        <v>0.84604490581234515</v>
      </c>
      <c r="E58">
        <f t="shared" si="1"/>
        <v>84.604490581234515</v>
      </c>
      <c r="F58">
        <f>SUM(Productivities!V58:Z58)</f>
        <v>2401.5909194912301</v>
      </c>
      <c r="G58">
        <f>SUM(Productivities!AA58:AM58)</f>
        <v>2018.0794381343305</v>
      </c>
      <c r="H58" s="140">
        <f t="shared" si="2"/>
        <v>0.84030940563426793</v>
      </c>
      <c r="I58">
        <f t="shared" si="3"/>
        <v>84.030940563426796</v>
      </c>
      <c r="L58" s="153"/>
      <c r="M58" s="153"/>
    </row>
    <row r="59" spans="1:13">
      <c r="A59" s="58">
        <f>Productivities!A59</f>
        <v>121.20138888889051</v>
      </c>
      <c r="B59" s="59">
        <f>SUM(Productivities!B59:G59)</f>
        <v>616.42726897519015</v>
      </c>
      <c r="C59" s="58">
        <f>SUM(Productivities!H59:R59)+SUM(Productivities!T59:U59)</f>
        <v>536.62263045626651</v>
      </c>
      <c r="D59" s="140">
        <f t="shared" si="0"/>
        <v>0.87053681344824541</v>
      </c>
      <c r="E59">
        <f t="shared" si="1"/>
        <v>87.05368134482454</v>
      </c>
      <c r="F59">
        <f>SUM(Productivities!V59:Z59)</f>
        <v>2408.2911056111789</v>
      </c>
      <c r="G59">
        <f>SUM(Productivities!AA59:AM59)</f>
        <v>2101.8850305478431</v>
      </c>
      <c r="H59" s="140">
        <f t="shared" si="2"/>
        <v>0.8727703331422737</v>
      </c>
      <c r="I59">
        <f t="shared" si="3"/>
        <v>87.277033314227367</v>
      </c>
      <c r="L59" s="153"/>
      <c r="M59" s="153"/>
    </row>
    <row r="60" spans="1:13">
      <c r="A60" s="58">
        <f>Productivities!A60</f>
        <v>124.17569444444234</v>
      </c>
      <c r="B60" s="59">
        <f>SUM(Productivities!B60:G60)</f>
        <v>564.80479715135755</v>
      </c>
      <c r="C60" s="58">
        <f>SUM(Productivities!H60:R60)+SUM(Productivities!T60:U60)</f>
        <v>505.30935823693915</v>
      </c>
      <c r="D60" s="140">
        <f t="shared" si="0"/>
        <v>0.8946619447736831</v>
      </c>
      <c r="E60">
        <f t="shared" si="1"/>
        <v>89.466194477368305</v>
      </c>
      <c r="F60">
        <f>SUM(Productivities!V60:Z60)</f>
        <v>2115.6024279354397</v>
      </c>
      <c r="G60">
        <f>SUM(Productivities!AA60:AM60)</f>
        <v>1915.6606523521552</v>
      </c>
      <c r="H60" s="140">
        <f t="shared" si="2"/>
        <v>0.90549180084917835</v>
      </c>
      <c r="I60">
        <f t="shared" si="3"/>
        <v>90.549180084917836</v>
      </c>
      <c r="L60" s="153"/>
      <c r="M60" s="153"/>
    </row>
    <row r="61" spans="1:13">
      <c r="A61" s="58">
        <f>Productivities!A61</f>
        <v>126.16180555555911</v>
      </c>
      <c r="B61" s="59">
        <f>SUM(Productivities!B61:G61)</f>
        <v>651.83136470161332</v>
      </c>
      <c r="C61" s="58">
        <f>SUM(Productivities!H61:R61)+SUM(Productivities!T61:U61)</f>
        <v>575.64932525041377</v>
      </c>
      <c r="D61" s="140">
        <f t="shared" si="0"/>
        <v>0.88312615259611948</v>
      </c>
      <c r="E61">
        <f t="shared" si="1"/>
        <v>88.312615259611945</v>
      </c>
      <c r="F61">
        <f>SUM(Productivities!V61:Z61)</f>
        <v>2563.2187976357968</v>
      </c>
      <c r="G61">
        <f>SUM(Productivities!AA61:AM61)</f>
        <v>2303.1338220401217</v>
      </c>
      <c r="H61" s="140">
        <f t="shared" si="2"/>
        <v>0.898531886612424</v>
      </c>
      <c r="I61">
        <f t="shared" si="3"/>
        <v>89.853188661242399</v>
      </c>
      <c r="L61" s="153"/>
      <c r="M61" s="153"/>
    </row>
    <row r="62" spans="1:13">
      <c r="A62" s="58">
        <f>Productivities!A62</f>
        <v>128.18472222222044</v>
      </c>
      <c r="B62" s="59">
        <f>SUM(Productivities!B62:G62)</f>
        <v>586.053535530109</v>
      </c>
      <c r="C62" s="58">
        <f>SUM(Productivities!H62:R62)+SUM(Productivities!T62:U62)</f>
        <v>547.10645709577932</v>
      </c>
      <c r="D62" s="140">
        <f t="shared" si="0"/>
        <v>0.9335434801206336</v>
      </c>
      <c r="E62">
        <f t="shared" si="1"/>
        <v>93.354348012063355</v>
      </c>
      <c r="F62">
        <f>SUM(Productivities!V62:Z62)</f>
        <v>2305.4850091963531</v>
      </c>
      <c r="G62">
        <f>SUM(Productivities!AA62:AM62)</f>
        <v>2221.9269087687708</v>
      </c>
      <c r="H62" s="140">
        <f t="shared" si="2"/>
        <v>0.96375682336069102</v>
      </c>
      <c r="I62">
        <f t="shared" si="3"/>
        <v>96.375682336069104</v>
      </c>
      <c r="L62" s="153"/>
      <c r="M62" s="153"/>
    </row>
    <row r="63" spans="1:13">
      <c r="A63" s="58">
        <f>Productivities!A63</f>
        <v>131.17083333333721</v>
      </c>
      <c r="B63" s="59">
        <f>SUM(Productivities!B63:G63)</f>
        <v>586.17290235217217</v>
      </c>
      <c r="C63" s="58">
        <f>SUM(Productivities!H63:R63)+SUM(Productivities!T63:U63)</f>
        <v>543.48468678093991</v>
      </c>
      <c r="D63" s="140">
        <f t="shared" si="0"/>
        <v>0.92717470323187134</v>
      </c>
      <c r="E63">
        <f t="shared" si="1"/>
        <v>92.717470323187129</v>
      </c>
      <c r="F63">
        <f>SUM(Productivities!V63:Z63)</f>
        <v>2342.0825904338662</v>
      </c>
      <c r="G63">
        <f>SUM(Productivities!AA63:AM63)</f>
        <v>2236.6972694234082</v>
      </c>
      <c r="H63" s="140">
        <f t="shared" si="2"/>
        <v>0.95500358465542601</v>
      </c>
      <c r="I63">
        <f t="shared" si="3"/>
        <v>95.500358465542604</v>
      </c>
      <c r="L63" s="153"/>
      <c r="M63" s="153"/>
    </row>
    <row r="64" spans="1:13">
      <c r="A64" s="58">
        <f>Productivities!A64</f>
        <v>132.02500000000146</v>
      </c>
      <c r="B64" s="59">
        <f>SUM(Productivities!B64:G64)</f>
        <v>582.2277202868521</v>
      </c>
      <c r="C64" s="58">
        <f>SUM(Productivities!H64:R64)+SUM(Productivities!T64:U64)</f>
        <v>534.58548888643236</v>
      </c>
      <c r="D64" s="140">
        <f t="shared" si="0"/>
        <v>0.918172512677776</v>
      </c>
      <c r="E64">
        <f t="shared" si="1"/>
        <v>91.817251267777607</v>
      </c>
      <c r="F64">
        <f>SUM(Productivities!V64:Z64)</f>
        <v>2319.7901645526003</v>
      </c>
      <c r="G64">
        <f>SUM(Productivities!AA64:AM64)</f>
        <v>2191.551373363015</v>
      </c>
      <c r="H64" s="140">
        <f t="shared" si="2"/>
        <v>0.94471965906695798</v>
      </c>
      <c r="I64">
        <f t="shared" si="3"/>
        <v>94.4719659066958</v>
      </c>
      <c r="L64" s="153"/>
      <c r="M64" s="153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28962-BA83-4C57-8F89-636C90B92134}">
  <dimension ref="A1:CB88"/>
  <sheetViews>
    <sheetView zoomScaleNormal="100" workbookViewId="0">
      <pane xSplit="1" ySplit="3" topLeftCell="AB4" activePane="bottomRight" state="frozen"/>
      <selection pane="topRight" activeCell="B1" sqref="B1"/>
      <selection pane="bottomLeft" activeCell="A4" sqref="A4"/>
      <selection pane="bottomRight" activeCell="AR22" sqref="AR22:AS22"/>
    </sheetView>
  </sheetViews>
  <sheetFormatPr defaultRowHeight="15"/>
  <cols>
    <col min="2" max="2" width="12" bestFit="1" customWidth="1"/>
    <col min="3" max="3" width="11.7109375" bestFit="1" customWidth="1"/>
    <col min="19" max="19" width="12.7109375" style="119" bestFit="1" customWidth="1"/>
    <col min="20" max="20" width="9.7109375" style="119" bestFit="1" customWidth="1"/>
    <col min="21" max="21" width="12.7109375" style="119" bestFit="1" customWidth="1"/>
    <col min="22" max="29" width="9.7109375" style="119" bestFit="1" customWidth="1"/>
    <col min="30" max="30" width="9.7109375" style="119" customWidth="1"/>
    <col min="31" max="32" width="9.140625" style="119"/>
    <col min="33" max="33" width="20.42578125" style="119" bestFit="1" customWidth="1"/>
    <col min="34" max="46" width="9.140625" style="119"/>
    <col min="48" max="61" width="9.140625" style="119"/>
  </cols>
  <sheetData>
    <row r="1" spans="1:80" ht="75">
      <c r="B1" s="151" t="s">
        <v>246</v>
      </c>
      <c r="C1" s="151"/>
      <c r="D1" s="151"/>
      <c r="E1" s="151"/>
      <c r="F1" s="151"/>
      <c r="G1" s="151"/>
      <c r="H1" s="152" t="s">
        <v>248</v>
      </c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19" t="s">
        <v>314</v>
      </c>
      <c r="AU1" s="14" t="s">
        <v>272</v>
      </c>
      <c r="AV1" s="145" t="s">
        <v>246</v>
      </c>
      <c r="AW1" s="145"/>
      <c r="AX1" s="145"/>
      <c r="AY1" s="145"/>
      <c r="AZ1" s="145"/>
      <c r="BA1" s="99" t="s">
        <v>248</v>
      </c>
      <c r="BB1" s="99"/>
      <c r="BC1" s="99"/>
      <c r="BD1" s="99"/>
      <c r="BE1" s="99"/>
      <c r="BF1" s="99"/>
      <c r="BG1" s="99"/>
      <c r="BH1" s="99"/>
      <c r="BI1" s="99"/>
    </row>
    <row r="2" spans="1:80">
      <c r="B2" s="151" t="s">
        <v>247</v>
      </c>
      <c r="C2" s="151" t="s">
        <v>247</v>
      </c>
      <c r="D2" s="151" t="s">
        <v>247</v>
      </c>
      <c r="E2" s="151" t="s">
        <v>247</v>
      </c>
      <c r="F2" s="151" t="s">
        <v>247</v>
      </c>
      <c r="G2" s="151" t="s">
        <v>247</v>
      </c>
      <c r="H2" s="152" t="s">
        <v>247</v>
      </c>
      <c r="I2" s="152" t="s">
        <v>247</v>
      </c>
      <c r="J2" s="152" t="s">
        <v>247</v>
      </c>
      <c r="K2" s="152" t="s">
        <v>247</v>
      </c>
      <c r="L2" s="152" t="s">
        <v>247</v>
      </c>
      <c r="M2" s="152" t="s">
        <v>247</v>
      </c>
      <c r="N2" s="152" t="s">
        <v>247</v>
      </c>
      <c r="O2" s="152" t="s">
        <v>247</v>
      </c>
      <c r="P2" s="152" t="s">
        <v>247</v>
      </c>
      <c r="Q2" s="152" t="s">
        <v>247</v>
      </c>
      <c r="R2" s="152"/>
      <c r="S2" s="119" t="s">
        <v>263</v>
      </c>
      <c r="T2" s="119" t="s">
        <v>263</v>
      </c>
      <c r="U2" s="119" t="s">
        <v>263</v>
      </c>
      <c r="V2" s="119" t="s">
        <v>263</v>
      </c>
      <c r="W2" s="119" t="s">
        <v>263</v>
      </c>
      <c r="X2" s="119" t="s">
        <v>263</v>
      </c>
      <c r="Y2" s="119" t="s">
        <v>263</v>
      </c>
      <c r="Z2" s="119" t="s">
        <v>263</v>
      </c>
      <c r="AA2" s="119" t="s">
        <v>263</v>
      </c>
      <c r="AB2" s="119" t="s">
        <v>263</v>
      </c>
      <c r="AC2" s="119" t="s">
        <v>263</v>
      </c>
      <c r="AD2" s="119" t="s">
        <v>263</v>
      </c>
      <c r="AE2" s="119" t="s">
        <v>263</v>
      </c>
      <c r="AU2" t="s">
        <v>287</v>
      </c>
      <c r="AV2" s="145" t="s">
        <v>270</v>
      </c>
      <c r="AW2" s="145" t="s">
        <v>270</v>
      </c>
      <c r="AX2" s="145" t="s">
        <v>270</v>
      </c>
      <c r="AY2" s="145" t="s">
        <v>270</v>
      </c>
      <c r="AZ2" s="145" t="s">
        <v>270</v>
      </c>
      <c r="BA2" s="99" t="s">
        <v>270</v>
      </c>
      <c r="BB2" s="99" t="s">
        <v>270</v>
      </c>
      <c r="BC2" s="99" t="s">
        <v>270</v>
      </c>
      <c r="BD2" s="99" t="s">
        <v>270</v>
      </c>
      <c r="BE2" s="99" t="s">
        <v>270</v>
      </c>
      <c r="BF2" s="99" t="s">
        <v>270</v>
      </c>
      <c r="BG2" s="99" t="s">
        <v>270</v>
      </c>
      <c r="BH2" s="99" t="s">
        <v>270</v>
      </c>
      <c r="BI2" s="99" t="s">
        <v>270</v>
      </c>
    </row>
    <row r="3" spans="1:80">
      <c r="A3" t="s">
        <v>244</v>
      </c>
      <c r="B3" s="151" t="s">
        <v>191</v>
      </c>
      <c r="C3" s="151" t="s">
        <v>192</v>
      </c>
      <c r="D3" s="151" t="s">
        <v>193</v>
      </c>
      <c r="E3" s="151" t="s">
        <v>196</v>
      </c>
      <c r="F3" s="151" t="s">
        <v>245</v>
      </c>
      <c r="G3" s="151" t="s">
        <v>198</v>
      </c>
      <c r="H3" s="152" t="s">
        <v>179</v>
      </c>
      <c r="I3" s="152" t="s">
        <v>180</v>
      </c>
      <c r="J3" s="152" t="s">
        <v>181</v>
      </c>
      <c r="K3" s="152" t="s">
        <v>182</v>
      </c>
      <c r="L3" s="152" t="s">
        <v>183</v>
      </c>
      <c r="M3" s="152" t="s">
        <v>184</v>
      </c>
      <c r="N3" s="152" t="s">
        <v>185</v>
      </c>
      <c r="O3" s="152" t="s">
        <v>28</v>
      </c>
      <c r="P3" s="152" t="s">
        <v>196</v>
      </c>
      <c r="Q3" s="152" t="s">
        <v>198</v>
      </c>
      <c r="R3" s="152" t="s">
        <v>311</v>
      </c>
      <c r="S3" s="119" t="s">
        <v>315</v>
      </c>
      <c r="T3" s="119" t="s">
        <v>192</v>
      </c>
      <c r="U3" s="119" t="s">
        <v>193</v>
      </c>
      <c r="V3" s="119" t="s">
        <v>316</v>
      </c>
      <c r="W3" s="119" t="s">
        <v>180</v>
      </c>
      <c r="X3" s="119" t="s">
        <v>181</v>
      </c>
      <c r="Y3" s="119" t="s">
        <v>182</v>
      </c>
      <c r="Z3" s="119" t="s">
        <v>183</v>
      </c>
      <c r="AA3" s="119" t="s">
        <v>184</v>
      </c>
      <c r="AB3" s="119" t="s">
        <v>185</v>
      </c>
      <c r="AC3" s="119" t="s">
        <v>196</v>
      </c>
      <c r="AD3" s="119" t="s">
        <v>324</v>
      </c>
      <c r="AE3" s="119" t="s">
        <v>28</v>
      </c>
      <c r="AV3" s="145" t="s">
        <v>191</v>
      </c>
      <c r="AW3" s="145" t="s">
        <v>192</v>
      </c>
      <c r="AX3" s="145" t="s">
        <v>193</v>
      </c>
      <c r="AY3" s="145" t="s">
        <v>196</v>
      </c>
      <c r="AZ3" s="145" t="s">
        <v>245</v>
      </c>
      <c r="BA3" s="99" t="s">
        <v>179</v>
      </c>
      <c r="BB3" s="99" t="s">
        <v>180</v>
      </c>
      <c r="BC3" s="99" t="s">
        <v>181</v>
      </c>
      <c r="BD3" s="99" t="s">
        <v>182</v>
      </c>
      <c r="BE3" s="99" t="s">
        <v>183</v>
      </c>
      <c r="BF3" s="99" t="s">
        <v>184</v>
      </c>
      <c r="BG3" s="99" t="s">
        <v>185</v>
      </c>
      <c r="BH3" s="99" t="s">
        <v>28</v>
      </c>
      <c r="BI3" s="99" t="s">
        <v>196</v>
      </c>
    </row>
    <row r="4" spans="1:80">
      <c r="A4" s="141">
        <f>Productivities!A4</f>
        <v>0</v>
      </c>
      <c r="B4" s="151">
        <f>'Influent Concentration'!S4/A9</f>
        <v>0</v>
      </c>
      <c r="C4" s="143">
        <f>'Influent Concentration'!T4/A9</f>
        <v>25.664027167378073</v>
      </c>
      <c r="D4" s="151">
        <f>'Influent Concentration'!U4/A9</f>
        <v>0</v>
      </c>
      <c r="E4" s="151">
        <f>'Influent Concentration'!V4/A9</f>
        <v>0</v>
      </c>
      <c r="F4" s="143">
        <f>'Influent Concentration'!W4/A9</f>
        <v>0.74682063939129251</v>
      </c>
      <c r="G4" s="151">
        <f>SUM(B4:F4)</f>
        <v>26.410847806769365</v>
      </c>
      <c r="H4" s="152">
        <f>AVERAGE('Effluent Concentration'!AK8:AK9)/$A$9</f>
        <v>0</v>
      </c>
      <c r="I4" s="152">
        <f>AVERAGE('Effluent Concentration'!AL8:AL9)/$A$9</f>
        <v>12.848117645629639</v>
      </c>
      <c r="J4" s="152">
        <f>AVERAGE('Effluent Concentration'!AM8:AM9)/$A$9</f>
        <v>6.1786745566537522E-2</v>
      </c>
      <c r="K4" s="152">
        <f>AVERAGE('Effluent Concentration'!AN8:AN9)/$A$9</f>
        <v>7.1956614933833804E-2</v>
      </c>
      <c r="L4" s="152">
        <f>AVERAGE('Effluent Concentration'!AO8:AO9)/$A$9</f>
        <v>9.3379616652059898</v>
      </c>
      <c r="M4" s="152">
        <f>AVERAGE('Effluent Concentration'!AP8:AP9)/$A$9</f>
        <v>0</v>
      </c>
      <c r="N4" s="152">
        <f>AVERAGE('Effluent Concentration'!AQ8:AQ9)/$A$9</f>
        <v>0.17961515017437077</v>
      </c>
      <c r="O4" s="144">
        <f>AVERAGE(Gas!X4:X8)</f>
        <v>7.0181738922724888</v>
      </c>
      <c r="P4" s="152">
        <f>AVERAGE('Effluent Concentration'!AJ8:AJ9)</f>
        <v>0</v>
      </c>
      <c r="Q4" s="152">
        <f>SUM(H4:P4)</f>
        <v>29.517611713782859</v>
      </c>
      <c r="R4" s="152"/>
      <c r="S4" s="119">
        <f>-B4</f>
        <v>0</v>
      </c>
      <c r="T4" s="166">
        <f>-C4</f>
        <v>-25.664027167378073</v>
      </c>
      <c r="U4" s="119">
        <f>-D4</f>
        <v>0</v>
      </c>
      <c r="V4" s="166">
        <f>-F4</f>
        <v>-0.74682063939129251</v>
      </c>
      <c r="W4" s="119">
        <f t="shared" ref="W4:AB4" si="0">I4</f>
        <v>12.848117645629639</v>
      </c>
      <c r="X4" s="119">
        <f t="shared" si="0"/>
        <v>6.1786745566537522E-2</v>
      </c>
      <c r="Y4" s="119">
        <f t="shared" si="0"/>
        <v>7.1956614933833804E-2</v>
      </c>
      <c r="Z4" s="119">
        <f t="shared" si="0"/>
        <v>9.3379616652059898</v>
      </c>
      <c r="AA4" s="119">
        <f t="shared" si="0"/>
        <v>0</v>
      </c>
      <c r="AB4" s="119">
        <f t="shared" si="0"/>
        <v>0.17961515017437077</v>
      </c>
      <c r="AC4" s="119">
        <f>P4-E4</f>
        <v>0</v>
      </c>
      <c r="AD4" s="119">
        <f>H4</f>
        <v>0</v>
      </c>
      <c r="AE4" s="166">
        <f>O4</f>
        <v>7.0181738922724888</v>
      </c>
      <c r="AV4" s="145"/>
      <c r="AW4" s="145"/>
      <c r="AX4" s="145"/>
      <c r="AY4" s="145"/>
      <c r="AZ4" s="145"/>
      <c r="BA4" s="99"/>
      <c r="BB4" s="99"/>
      <c r="BC4" s="99"/>
      <c r="BD4" s="99"/>
      <c r="BE4" s="99"/>
      <c r="BF4" s="99"/>
      <c r="BG4" s="99"/>
      <c r="BH4" s="99"/>
      <c r="BI4" s="99"/>
    </row>
    <row r="5" spans="1:80">
      <c r="A5" s="141">
        <f>Productivities!A5</f>
        <v>1.9791666666642413</v>
      </c>
      <c r="B5" s="151"/>
      <c r="C5" s="151"/>
      <c r="D5" s="151"/>
      <c r="E5" s="151"/>
      <c r="F5" s="151"/>
      <c r="G5" s="151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19">
        <f t="shared" ref="S5:S64" si="1">-B5</f>
        <v>0</v>
      </c>
      <c r="T5" s="166">
        <f t="shared" ref="T5:T64" si="2">-C5</f>
        <v>0</v>
      </c>
      <c r="U5" s="119">
        <f t="shared" ref="U5:U64" si="3">-D5</f>
        <v>0</v>
      </c>
      <c r="V5" s="166">
        <f t="shared" ref="V5:V64" si="4">-F5</f>
        <v>0</v>
      </c>
      <c r="W5" s="119">
        <f t="shared" ref="W5:W64" si="5">I5</f>
        <v>0</v>
      </c>
      <c r="X5" s="119">
        <f t="shared" ref="X5:X64" si="6">J5</f>
        <v>0</v>
      </c>
      <c r="Y5" s="119">
        <f t="shared" ref="Y5:Y64" si="7">K5</f>
        <v>0</v>
      </c>
      <c r="Z5" s="119">
        <f t="shared" ref="Z5:Z64" si="8">L5</f>
        <v>0</v>
      </c>
      <c r="AA5" s="119">
        <f t="shared" ref="AA5:AA64" si="9">M5</f>
        <v>0</v>
      </c>
      <c r="AB5" s="119">
        <f t="shared" ref="AB5:AB64" si="10">N5</f>
        <v>0</v>
      </c>
      <c r="AC5" s="119">
        <f t="shared" ref="AC5:AC64" si="11">P5-E5</f>
        <v>0</v>
      </c>
      <c r="AD5" s="119">
        <f t="shared" ref="AD5:AD64" si="12">H5</f>
        <v>0</v>
      </c>
      <c r="AE5" s="166">
        <f t="shared" ref="AE5:AE64" si="13">O5</f>
        <v>0</v>
      </c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99"/>
    </row>
    <row r="6" spans="1:80">
      <c r="A6" s="141">
        <f>Productivities!A6</f>
        <v>5.0034722222262644</v>
      </c>
      <c r="B6" s="151"/>
      <c r="C6" s="151"/>
      <c r="D6" s="151"/>
      <c r="E6" s="151"/>
      <c r="F6" s="151"/>
      <c r="G6" s="151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19">
        <f t="shared" si="1"/>
        <v>0</v>
      </c>
      <c r="T6" s="166">
        <f t="shared" si="2"/>
        <v>0</v>
      </c>
      <c r="U6" s="119">
        <f t="shared" si="3"/>
        <v>0</v>
      </c>
      <c r="V6" s="166">
        <f t="shared" si="4"/>
        <v>0</v>
      </c>
      <c r="W6" s="119">
        <f t="shared" si="5"/>
        <v>0</v>
      </c>
      <c r="X6" s="119">
        <f t="shared" si="6"/>
        <v>0</v>
      </c>
      <c r="Y6" s="119">
        <f t="shared" si="7"/>
        <v>0</v>
      </c>
      <c r="Z6" s="119">
        <f t="shared" si="8"/>
        <v>0</v>
      </c>
      <c r="AA6" s="119">
        <f t="shared" si="9"/>
        <v>0</v>
      </c>
      <c r="AB6" s="119">
        <f t="shared" si="10"/>
        <v>0</v>
      </c>
      <c r="AC6" s="119">
        <f t="shared" si="11"/>
        <v>0</v>
      </c>
      <c r="AD6" s="119">
        <f t="shared" si="12"/>
        <v>0</v>
      </c>
      <c r="AE6" s="166">
        <f t="shared" si="13"/>
        <v>0</v>
      </c>
      <c r="AU6" s="58"/>
      <c r="AV6" s="145"/>
      <c r="AW6" s="145"/>
      <c r="AX6" s="145"/>
      <c r="AY6" s="145"/>
      <c r="AZ6" s="145"/>
      <c r="BA6" s="99"/>
      <c r="BB6" s="99"/>
      <c r="BC6" s="99"/>
      <c r="BD6" s="99"/>
      <c r="BE6" s="99"/>
      <c r="BF6" s="99"/>
      <c r="BG6" s="99"/>
      <c r="BH6" s="99"/>
      <c r="BI6" s="99"/>
    </row>
    <row r="7" spans="1:80">
      <c r="A7" s="141">
        <f>Productivities!A7</f>
        <v>7.015972222223354</v>
      </c>
      <c r="B7" s="151"/>
      <c r="C7" s="151"/>
      <c r="D7" s="151"/>
      <c r="E7" s="151"/>
      <c r="F7" s="151"/>
      <c r="G7" s="151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19">
        <f t="shared" si="1"/>
        <v>0</v>
      </c>
      <c r="T7" s="166">
        <f t="shared" si="2"/>
        <v>0</v>
      </c>
      <c r="U7" s="119">
        <f t="shared" si="3"/>
        <v>0</v>
      </c>
      <c r="V7" s="166">
        <f t="shared" si="4"/>
        <v>0</v>
      </c>
      <c r="W7" s="119">
        <f t="shared" si="5"/>
        <v>0</v>
      </c>
      <c r="X7" s="119">
        <f t="shared" si="6"/>
        <v>0</v>
      </c>
      <c r="Y7" s="119">
        <f t="shared" si="7"/>
        <v>0</v>
      </c>
      <c r="Z7" s="119">
        <f t="shared" si="8"/>
        <v>0</v>
      </c>
      <c r="AA7" s="119">
        <f t="shared" si="9"/>
        <v>0</v>
      </c>
      <c r="AB7" s="119">
        <f t="shared" si="10"/>
        <v>0</v>
      </c>
      <c r="AC7" s="119">
        <f t="shared" si="11"/>
        <v>0</v>
      </c>
      <c r="AD7" s="119">
        <f t="shared" si="12"/>
        <v>0</v>
      </c>
      <c r="AE7" s="166">
        <f t="shared" si="13"/>
        <v>0</v>
      </c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</row>
    <row r="8" spans="1:80">
      <c r="A8" s="141">
        <f>Productivities!A8</f>
        <v>9.0881944444481633</v>
      </c>
      <c r="B8" s="165"/>
      <c r="C8" s="151"/>
      <c r="D8" s="151"/>
      <c r="E8" s="151"/>
      <c r="F8" s="151"/>
      <c r="G8" s="151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19">
        <f t="shared" si="1"/>
        <v>0</v>
      </c>
      <c r="T8" s="166">
        <f t="shared" si="2"/>
        <v>0</v>
      </c>
      <c r="U8" s="119">
        <f t="shared" si="3"/>
        <v>0</v>
      </c>
      <c r="V8" s="166">
        <f t="shared" si="4"/>
        <v>0</v>
      </c>
      <c r="W8" s="119">
        <f t="shared" si="5"/>
        <v>0</v>
      </c>
      <c r="X8" s="119">
        <f t="shared" si="6"/>
        <v>0</v>
      </c>
      <c r="Y8" s="119">
        <f t="shared" si="7"/>
        <v>0</v>
      </c>
      <c r="Z8" s="119">
        <f t="shared" si="8"/>
        <v>0</v>
      </c>
      <c r="AA8" s="119">
        <f t="shared" si="9"/>
        <v>0</v>
      </c>
      <c r="AB8" s="119">
        <f t="shared" si="10"/>
        <v>0</v>
      </c>
      <c r="AC8" s="119">
        <f t="shared" si="11"/>
        <v>0</v>
      </c>
      <c r="AD8" s="119">
        <f t="shared" si="12"/>
        <v>0</v>
      </c>
      <c r="AE8" s="166">
        <f t="shared" si="13"/>
        <v>0</v>
      </c>
      <c r="AG8" s="192" t="s">
        <v>247</v>
      </c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Z8" s="146"/>
      <c r="CA8" s="146"/>
      <c r="CB8" s="146"/>
    </row>
    <row r="9" spans="1:80" s="172" customFormat="1">
      <c r="A9" s="167">
        <f>Productivities!A9</f>
        <v>9.2743055555547471</v>
      </c>
      <c r="B9" s="168"/>
      <c r="C9" s="168"/>
      <c r="D9" s="168"/>
      <c r="E9" s="168"/>
      <c r="F9" s="168"/>
      <c r="G9" s="168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70">
        <f t="shared" si="1"/>
        <v>0</v>
      </c>
      <c r="T9" s="171">
        <f t="shared" si="2"/>
        <v>0</v>
      </c>
      <c r="U9" s="170">
        <f t="shared" si="3"/>
        <v>0</v>
      </c>
      <c r="V9" s="171">
        <f t="shared" si="4"/>
        <v>0</v>
      </c>
      <c r="W9" s="170">
        <f t="shared" si="5"/>
        <v>0</v>
      </c>
      <c r="X9" s="170">
        <f t="shared" si="6"/>
        <v>0</v>
      </c>
      <c r="Y9" s="170">
        <f t="shared" si="7"/>
        <v>0</v>
      </c>
      <c r="Z9" s="170">
        <f t="shared" si="8"/>
        <v>0</v>
      </c>
      <c r="AA9" s="170">
        <f t="shared" si="9"/>
        <v>0</v>
      </c>
      <c r="AB9" s="170">
        <f t="shared" si="10"/>
        <v>0</v>
      </c>
      <c r="AC9" s="170">
        <f t="shared" si="11"/>
        <v>0</v>
      </c>
      <c r="AD9" s="170">
        <f t="shared" si="12"/>
        <v>0</v>
      </c>
      <c r="AE9" s="171">
        <f t="shared" si="13"/>
        <v>0</v>
      </c>
      <c r="AF9" s="170"/>
      <c r="AG9" s="171" t="s">
        <v>317</v>
      </c>
      <c r="AH9" s="188" t="s">
        <v>318</v>
      </c>
      <c r="AI9" s="189" t="s">
        <v>312</v>
      </c>
      <c r="AJ9" s="188" t="s">
        <v>319</v>
      </c>
      <c r="AK9" s="188" t="s">
        <v>312</v>
      </c>
      <c r="AL9" s="188" t="s">
        <v>320</v>
      </c>
      <c r="AM9" s="188" t="s">
        <v>312</v>
      </c>
      <c r="AN9" s="188" t="s">
        <v>321</v>
      </c>
      <c r="AO9" s="188" t="s">
        <v>312</v>
      </c>
      <c r="AP9" s="188" t="s">
        <v>322</v>
      </c>
      <c r="AQ9" s="188" t="s">
        <v>312</v>
      </c>
      <c r="AR9" s="188" t="s">
        <v>323</v>
      </c>
      <c r="AS9" s="188" t="s">
        <v>312</v>
      </c>
      <c r="AT9" s="170"/>
      <c r="AU9" s="172">
        <v>9.2743055555547471</v>
      </c>
      <c r="AV9" s="173"/>
      <c r="AW9" s="173"/>
      <c r="AX9" s="173"/>
      <c r="AY9" s="173"/>
      <c r="AZ9" s="173"/>
      <c r="BA9" s="174"/>
      <c r="BB9" s="174"/>
      <c r="BC9" s="174"/>
      <c r="BD9" s="174"/>
      <c r="BE9" s="174"/>
      <c r="BF9" s="174"/>
      <c r="BG9" s="174"/>
      <c r="BH9" s="174"/>
      <c r="BI9" s="174"/>
      <c r="BZ9" s="175"/>
      <c r="CA9" s="175"/>
      <c r="CB9" s="175"/>
    </row>
    <row r="10" spans="1:80">
      <c r="A10" s="111">
        <f>Productivities!A10</f>
        <v>11.993055555554747</v>
      </c>
      <c r="B10" s="143">
        <f>Productivities!B10-Productivities!P10</f>
        <v>0</v>
      </c>
      <c r="C10" s="143">
        <f>Productivities!C10-Productivities!Q10</f>
        <v>110.11712726297984</v>
      </c>
      <c r="D10" s="143">
        <f>Productivities!D10-Productivities!R10</f>
        <v>0</v>
      </c>
      <c r="E10" s="143">
        <f>Productivities!E10</f>
        <v>0</v>
      </c>
      <c r="F10" s="143">
        <f>Productivities!F10</f>
        <v>3.2033315688803099</v>
      </c>
      <c r="G10" s="143">
        <f>SUM(B10:F10)</f>
        <v>113.32045883186015</v>
      </c>
      <c r="H10" s="144">
        <f>Productivities!I10</f>
        <v>0</v>
      </c>
      <c r="I10" s="144">
        <f>Productivities!J10</f>
        <v>56.833871261504925</v>
      </c>
      <c r="J10" s="144">
        <f>Productivities!K10</f>
        <v>0.24024450525720906</v>
      </c>
      <c r="K10" s="144">
        <f>Productivities!L10</f>
        <v>0.22153709632806409</v>
      </c>
      <c r="L10" s="144">
        <f>Productivities!M10</f>
        <v>43.9946610119732</v>
      </c>
      <c r="M10" s="144">
        <f>Productivities!N10</f>
        <v>0</v>
      </c>
      <c r="N10" s="144">
        <f>Productivities!O10</f>
        <v>0.3286682748874451</v>
      </c>
      <c r="O10" s="144">
        <f>Productivities!U10-Productivities!G10</f>
        <v>9.6016294547123096</v>
      </c>
      <c r="P10" s="144">
        <f>Productivities!H10</f>
        <v>0</v>
      </c>
      <c r="Q10" s="144">
        <f>SUM(H10:P10)</f>
        <v>111.22061160466315</v>
      </c>
      <c r="R10" s="144">
        <f>SUM(I10:N10)</f>
        <v>101.61898214995084</v>
      </c>
      <c r="S10" s="119">
        <f t="shared" si="1"/>
        <v>0</v>
      </c>
      <c r="T10" s="166">
        <f t="shared" si="2"/>
        <v>-110.11712726297984</v>
      </c>
      <c r="U10" s="119">
        <f t="shared" si="3"/>
        <v>0</v>
      </c>
      <c r="V10" s="166">
        <f t="shared" si="4"/>
        <v>-3.2033315688803099</v>
      </c>
      <c r="W10" s="119">
        <f t="shared" si="5"/>
        <v>56.833871261504925</v>
      </c>
      <c r="X10" s="119">
        <f t="shared" si="6"/>
        <v>0.24024450525720906</v>
      </c>
      <c r="Y10" s="119">
        <f t="shared" si="7"/>
        <v>0.22153709632806409</v>
      </c>
      <c r="Z10" s="119">
        <f t="shared" si="8"/>
        <v>43.9946610119732</v>
      </c>
      <c r="AA10" s="119">
        <f t="shared" si="9"/>
        <v>0</v>
      </c>
      <c r="AB10" s="119">
        <f t="shared" si="10"/>
        <v>0.3286682748874451</v>
      </c>
      <c r="AC10" s="119">
        <f t="shared" si="11"/>
        <v>0</v>
      </c>
      <c r="AD10" s="119">
        <f t="shared" si="12"/>
        <v>0</v>
      </c>
      <c r="AE10" s="166">
        <f t="shared" si="13"/>
        <v>9.6016294547123096</v>
      </c>
      <c r="AF10" s="166"/>
      <c r="AG10" s="119" t="s">
        <v>325</v>
      </c>
      <c r="AH10" s="245" t="s">
        <v>326</v>
      </c>
      <c r="AI10" s="245"/>
      <c r="AJ10" s="245" t="s">
        <v>327</v>
      </c>
      <c r="AK10" s="245"/>
      <c r="AL10" s="245" t="s">
        <v>335</v>
      </c>
      <c r="AM10" s="245"/>
      <c r="AN10" s="245" t="s">
        <v>328</v>
      </c>
      <c r="AO10" s="245"/>
      <c r="AP10" s="245" t="s">
        <v>329</v>
      </c>
      <c r="AQ10" s="245"/>
      <c r="AR10" s="245" t="s">
        <v>330</v>
      </c>
      <c r="AS10" s="245"/>
      <c r="AT10" s="166"/>
      <c r="AU10" s="146"/>
      <c r="AV10" s="145">
        <f>B10*HRT!E9</f>
        <v>0</v>
      </c>
      <c r="AW10" s="145">
        <f>C10*HRT!E9</f>
        <v>339.49657400978913</v>
      </c>
      <c r="AX10" s="145">
        <f>D10*HRT!E9</f>
        <v>0</v>
      </c>
      <c r="AY10" s="145">
        <f>E10*HRT!E9</f>
        <v>0</v>
      </c>
      <c r="AZ10" s="145">
        <f>F10*HRT!E9</f>
        <v>9.8760303695089249</v>
      </c>
      <c r="BA10" s="99">
        <f>H10*HRT!E9</f>
        <v>0</v>
      </c>
      <c r="BB10" s="99">
        <f>I10*HRT!E9</f>
        <v>175.22164862614491</v>
      </c>
      <c r="BC10" s="99">
        <f>J10*HRT!E9</f>
        <v>0.74068574514038887</v>
      </c>
      <c r="BD10" s="99">
        <f>K10*HRT!E9</f>
        <v>0.68300987402111002</v>
      </c>
      <c r="BE10" s="99">
        <f>L10*HRT!E9</f>
        <v>135.63772557030984</v>
      </c>
      <c r="BF10" s="99">
        <f>M10*HRT!E9</f>
        <v>0</v>
      </c>
      <c r="BG10" s="99">
        <f>N10*HRT!E9</f>
        <v>1.013300619834711</v>
      </c>
      <c r="BH10" s="99">
        <f>O10*HRT!E9</f>
        <v>29.602300621242151</v>
      </c>
      <c r="BI10" s="99">
        <f>P10*HRT!E9</f>
        <v>0</v>
      </c>
      <c r="BZ10" s="146"/>
      <c r="CA10" s="146"/>
      <c r="CB10" s="146"/>
    </row>
    <row r="11" spans="1:80">
      <c r="A11" s="111">
        <f>Productivities!A11</f>
        <v>14.045138888890506</v>
      </c>
      <c r="B11" s="143">
        <f>Productivities!B11-Productivities!P11</f>
        <v>0</v>
      </c>
      <c r="C11" s="143">
        <f>Productivities!C11-Productivities!Q11</f>
        <v>108.84677484159981</v>
      </c>
      <c r="D11" s="143">
        <f>Productivities!D11-Productivities!R11</f>
        <v>0</v>
      </c>
      <c r="E11" s="143">
        <f>Productivities!E11</f>
        <v>0</v>
      </c>
      <c r="F11" s="143">
        <f>Productivities!F11</f>
        <v>3.1521225529327652</v>
      </c>
      <c r="G11" s="143">
        <f t="shared" ref="G11:G64" si="14">SUM(B11:F11)</f>
        <v>111.99889739453258</v>
      </c>
      <c r="H11" s="144">
        <f>Productivities!I11</f>
        <v>0</v>
      </c>
      <c r="I11" s="144">
        <f>Productivities!J11</f>
        <v>53.358525013337697</v>
      </c>
      <c r="J11" s="144">
        <f>Productivities!K11</f>
        <v>0.24215751844400185</v>
      </c>
      <c r="K11" s="144">
        <f>Productivities!L11</f>
        <v>0</v>
      </c>
      <c r="L11" s="144">
        <f>Productivities!M11</f>
        <v>43.617342707938349</v>
      </c>
      <c r="M11" s="144">
        <f>Productivities!N11</f>
        <v>0</v>
      </c>
      <c r="N11" s="144">
        <f>Productivities!O11</f>
        <v>0.18915146287667917</v>
      </c>
      <c r="O11" s="144">
        <f>Productivities!U11-Productivities!G11</f>
        <v>2.3692989249533412</v>
      </c>
      <c r="P11" s="144">
        <f>Productivities!H11</f>
        <v>0</v>
      </c>
      <c r="Q11" s="144">
        <f t="shared" ref="Q11:Q64" si="15">SUM(H11:P11)</f>
        <v>99.77647562755007</v>
      </c>
      <c r="R11" s="144">
        <f t="shared" ref="R11:R64" si="16">SUM(I11:N11)</f>
        <v>97.407176702596729</v>
      </c>
      <c r="S11" s="119">
        <f t="shared" si="1"/>
        <v>0</v>
      </c>
      <c r="T11" s="166">
        <f t="shared" si="2"/>
        <v>-108.84677484159981</v>
      </c>
      <c r="U11" s="119">
        <f t="shared" si="3"/>
        <v>0</v>
      </c>
      <c r="V11" s="166">
        <f t="shared" si="4"/>
        <v>-3.1521225529327652</v>
      </c>
      <c r="W11" s="119">
        <f t="shared" si="5"/>
        <v>53.358525013337697</v>
      </c>
      <c r="X11" s="119">
        <f t="shared" si="6"/>
        <v>0.24215751844400185</v>
      </c>
      <c r="Y11" s="119">
        <f t="shared" si="7"/>
        <v>0</v>
      </c>
      <c r="Z11" s="119">
        <f t="shared" si="8"/>
        <v>43.617342707938349</v>
      </c>
      <c r="AA11" s="119">
        <f t="shared" si="9"/>
        <v>0</v>
      </c>
      <c r="AB11" s="119">
        <f t="shared" si="10"/>
        <v>0.18915146287667917</v>
      </c>
      <c r="AC11" s="119">
        <f t="shared" si="11"/>
        <v>0</v>
      </c>
      <c r="AD11" s="119">
        <f t="shared" si="12"/>
        <v>0</v>
      </c>
      <c r="AE11" s="166">
        <f t="shared" si="13"/>
        <v>2.3692989249533412</v>
      </c>
      <c r="AF11" s="166"/>
      <c r="AG11" s="166" t="s">
        <v>180</v>
      </c>
      <c r="AH11" s="190">
        <f>AVERAGE(W10:W17)</f>
        <v>56.793556913309828</v>
      </c>
      <c r="AI11" s="190">
        <f>STDEVA(W10:W17)</f>
        <v>2.5718998017380792</v>
      </c>
      <c r="AJ11" s="190">
        <f>AVERAGE(W21:W29)</f>
        <v>117.72581657412132</v>
      </c>
      <c r="AK11" s="190">
        <f>STDEVA(W21:W29)</f>
        <v>3.7405167189132094</v>
      </c>
      <c r="AL11" s="190">
        <f>AVERAGE(W32:W37)</f>
        <v>98.198540921041982</v>
      </c>
      <c r="AM11" s="190">
        <f>STDEVA(W32:W37)</f>
        <v>7.3837018842900672</v>
      </c>
      <c r="AN11" s="190">
        <f>AVERAGE(W41:W46)</f>
        <v>70.988088071078977</v>
      </c>
      <c r="AO11" s="190">
        <f>STDEVA(W41:W46)</f>
        <v>6.1615329208246816</v>
      </c>
      <c r="AP11" s="190">
        <f>AVERAGE(W47:W54)</f>
        <v>69.709472221364649</v>
      </c>
      <c r="AQ11" s="190">
        <f>STDEVA(W47:W54)</f>
        <v>7.3727078434875342</v>
      </c>
      <c r="AR11" s="190">
        <f>AVERAGE(W56:W64)</f>
        <v>63.056851411064812</v>
      </c>
      <c r="AS11" s="190">
        <f>STDEVA(W56:W64)</f>
        <v>8.7682437882419002</v>
      </c>
      <c r="AT11" s="166"/>
      <c r="AU11" s="146"/>
      <c r="AV11" s="145">
        <f>B11*HRT!E10</f>
        <v>0</v>
      </c>
      <c r="AW11" s="145">
        <f>C11*HRT!E10</f>
        <v>340.48313215279802</v>
      </c>
      <c r="AX11" s="145">
        <f>D11*HRT!E10</f>
        <v>0</v>
      </c>
      <c r="AY11" s="145">
        <f>E11*HRT!E10</f>
        <v>0</v>
      </c>
      <c r="AZ11" s="145">
        <f>F11*HRT!E10</f>
        <v>9.860141114092448</v>
      </c>
      <c r="BA11" s="99">
        <f>H11*HRT!E10</f>
        <v>0</v>
      </c>
      <c r="BB11" s="99">
        <f>I11*HRT!E10</f>
        <v>166.91057452123229</v>
      </c>
      <c r="BC11" s="99">
        <f>J11*HRT!E10</f>
        <v>0.75749190064794814</v>
      </c>
      <c r="BD11" s="99">
        <f>K11*HRT!E10</f>
        <v>0</v>
      </c>
      <c r="BE11" s="99">
        <f>L11*HRT!E10</f>
        <v>136.43922369765068</v>
      </c>
      <c r="BF11" s="99">
        <f>M11*HRT!E10</f>
        <v>0</v>
      </c>
      <c r="BG11" s="99">
        <f>N11*HRT!E10</f>
        <v>0.59168388429752061</v>
      </c>
      <c r="BH11" s="99">
        <f>O11*HRT!E10</f>
        <v>7.4113938621363555</v>
      </c>
      <c r="BI11" s="99">
        <f>P11*HRT!E10</f>
        <v>0</v>
      </c>
      <c r="BJ11">
        <f>AVERAGE(AV10,AV12,AV13)</f>
        <v>0</v>
      </c>
      <c r="BK11">
        <f>AVERAGE(AW10,AW12,AW13)</f>
        <v>326.91427287818573</v>
      </c>
      <c r="BL11">
        <f t="shared" ref="BL11:BN11" si="17">AVERAGE(AX10,AX12,AX13)</f>
        <v>0</v>
      </c>
      <c r="BM11">
        <f t="shared" si="17"/>
        <v>0</v>
      </c>
      <c r="BN11">
        <f t="shared" si="17"/>
        <v>9.7506556538855804</v>
      </c>
    </row>
    <row r="12" spans="1:80">
      <c r="A12" s="111">
        <f>Productivities!A12</f>
        <v>16.038194444445253</v>
      </c>
      <c r="B12" s="143">
        <f>Productivities!B12-Productivities!P12</f>
        <v>0</v>
      </c>
      <c r="C12" s="143">
        <f>Productivities!C12-Productivities!Q12</f>
        <v>112.54655113266504</v>
      </c>
      <c r="D12" s="143">
        <f>Productivities!D12-Productivities!R12</f>
        <v>0</v>
      </c>
      <c r="E12" s="143">
        <f>Productivities!E12</f>
        <v>0</v>
      </c>
      <c r="F12" s="143">
        <f>Productivities!F12</f>
        <v>3.2732796031511118</v>
      </c>
      <c r="G12" s="143">
        <f t="shared" si="14"/>
        <v>115.81983073581615</v>
      </c>
      <c r="H12" s="144">
        <f>Productivities!I12</f>
        <v>0</v>
      </c>
      <c r="I12" s="144">
        <f>Productivities!J12</f>
        <v>55.244500058424407</v>
      </c>
      <c r="J12" s="144">
        <f>Productivities!K12</f>
        <v>0.24951517577530444</v>
      </c>
      <c r="K12" s="144">
        <f>Productivities!L12</f>
        <v>0</v>
      </c>
      <c r="L12" s="144">
        <f>Productivities!M12</f>
        <v>47.092969724698534</v>
      </c>
      <c r="M12" s="144">
        <f>Productivities!N12</f>
        <v>0</v>
      </c>
      <c r="N12" s="144">
        <f>Productivities!O12</f>
        <v>0</v>
      </c>
      <c r="O12" s="144">
        <f>Productivities!U12-Productivities!G12</f>
        <v>-0.906763257486773</v>
      </c>
      <c r="P12" s="144">
        <f>Productivities!H12</f>
        <v>0</v>
      </c>
      <c r="Q12" s="144">
        <f t="shared" si="15"/>
        <v>101.68022170141148</v>
      </c>
      <c r="R12" s="144">
        <f t="shared" si="16"/>
        <v>102.58698495889826</v>
      </c>
      <c r="S12" s="119">
        <f t="shared" si="1"/>
        <v>0</v>
      </c>
      <c r="T12" s="166">
        <f t="shared" si="2"/>
        <v>-112.54655113266504</v>
      </c>
      <c r="U12" s="119">
        <f t="shared" si="3"/>
        <v>0</v>
      </c>
      <c r="V12" s="166">
        <f t="shared" si="4"/>
        <v>-3.2732796031511118</v>
      </c>
      <c r="W12" s="119">
        <f t="shared" si="5"/>
        <v>55.244500058424407</v>
      </c>
      <c r="X12" s="119">
        <f t="shared" si="6"/>
        <v>0.24951517577530444</v>
      </c>
      <c r="Y12" s="119">
        <f t="shared" si="7"/>
        <v>0</v>
      </c>
      <c r="Z12" s="119">
        <f t="shared" si="8"/>
        <v>47.092969724698534</v>
      </c>
      <c r="AA12" s="119">
        <f t="shared" si="9"/>
        <v>0</v>
      </c>
      <c r="AB12" s="119">
        <f t="shared" si="10"/>
        <v>0</v>
      </c>
      <c r="AC12" s="119">
        <f t="shared" si="11"/>
        <v>0</v>
      </c>
      <c r="AD12" s="119">
        <f t="shared" si="12"/>
        <v>0</v>
      </c>
      <c r="AE12" s="166">
        <f t="shared" si="13"/>
        <v>-0.906763257486773</v>
      </c>
      <c r="AF12" s="166"/>
      <c r="AG12" s="166" t="s">
        <v>181</v>
      </c>
      <c r="AH12" s="190">
        <f>AVERAGE(X10:X17)</f>
        <v>0.23381734537136273</v>
      </c>
      <c r="AI12" s="190">
        <f>STDEVA(X10:X17)</f>
        <v>2.1678477483125916E-2</v>
      </c>
      <c r="AJ12" s="190">
        <f>AVERAGE(X21:X29)</f>
        <v>1.3854934953790932</v>
      </c>
      <c r="AK12" s="190">
        <f>STDEVA(X21:X29)</f>
        <v>0.33822533165089913</v>
      </c>
      <c r="AL12" s="190">
        <f>AVERAGE(X32:X37)</f>
        <v>2.0245870495035416</v>
      </c>
      <c r="AM12" s="190">
        <f>STDEVA(X32:X37)</f>
        <v>0.3472320740735671</v>
      </c>
      <c r="AN12" s="190">
        <f>AVERAGE(X41:X46)</f>
        <v>1.8298478585666806</v>
      </c>
      <c r="AO12" s="190">
        <f>STDEVA(X41:X46)</f>
        <v>0.59663148456608273</v>
      </c>
      <c r="AP12" s="190">
        <f>AVERAGE(X47:X54)</f>
        <v>1.9739797642313488</v>
      </c>
      <c r="AQ12" s="190">
        <f>STDEVA(X47:X54)</f>
        <v>0.45610719083552026</v>
      </c>
      <c r="AR12" s="190">
        <f>AVERAGE(X56:X64)</f>
        <v>1.9026718343536271</v>
      </c>
      <c r="AS12" s="190">
        <f>STDEVA(X56:X64)</f>
        <v>0.33159077993595343</v>
      </c>
      <c r="AT12" s="166"/>
      <c r="AU12" s="146">
        <v>16.038194444445253</v>
      </c>
      <c r="AV12" s="145">
        <f>B12*HRT!E11</f>
        <v>0</v>
      </c>
      <c r="AW12" s="145">
        <f>C12*HRT!E11</f>
        <v>336.37772598514641</v>
      </c>
      <c r="AX12" s="145">
        <f>D12*HRT!E11</f>
        <v>0</v>
      </c>
      <c r="AY12" s="145">
        <f>E12*HRT!E11</f>
        <v>0</v>
      </c>
      <c r="AZ12" s="145">
        <f>F12*HRT!E11</f>
        <v>9.7831371849293998</v>
      </c>
      <c r="BA12" s="99">
        <f>H12*HRT!E11</f>
        <v>0</v>
      </c>
      <c r="BB12" s="99">
        <f>I12*HRT!E11</f>
        <v>165.11407160699417</v>
      </c>
      <c r="BC12" s="99">
        <f>J12*HRT!E11</f>
        <v>0.74574784017278617</v>
      </c>
      <c r="BD12" s="99">
        <f>K12*HRT!E11</f>
        <v>0</v>
      </c>
      <c r="BE12" s="99">
        <f>L12*HRT!E11</f>
        <v>140.75087958234025</v>
      </c>
      <c r="BF12" s="99">
        <f>M12*HRT!E11</f>
        <v>0</v>
      </c>
      <c r="BG12" s="99">
        <f>N12*HRT!E11</f>
        <v>0</v>
      </c>
      <c r="BH12" s="99">
        <f>O12*HRT!E11</f>
        <v>-2.7101226958145159</v>
      </c>
      <c r="BI12" s="99">
        <f>P12*HRT!E11</f>
        <v>0</v>
      </c>
      <c r="BJ12">
        <f>STDEVA(AV10,AV12,AV13)</f>
        <v>0</v>
      </c>
      <c r="BK12">
        <f>STDEVA(AW10,AW12,AW13)</f>
        <v>19.155763185281291</v>
      </c>
      <c r="BL12">
        <f t="shared" ref="BL12:BN12" si="18">STDEVA(AX10,AX12,AX13)</f>
        <v>0</v>
      </c>
      <c r="BM12">
        <f t="shared" si="18"/>
        <v>0</v>
      </c>
      <c r="BN12">
        <f t="shared" si="18"/>
        <v>0.14438224230914043</v>
      </c>
    </row>
    <row r="13" spans="1:80">
      <c r="A13" s="111">
        <f>Productivities!A13</f>
        <v>18.993055555554747</v>
      </c>
      <c r="B13" s="143">
        <f>Productivities!B13-Productivities!P13</f>
        <v>0</v>
      </c>
      <c r="C13" s="143">
        <f>Productivities!C13-Productivities!Q13</f>
        <v>101.76779116734302</v>
      </c>
      <c r="D13" s="143">
        <f>Productivities!D13-Productivities!R13</f>
        <v>0</v>
      </c>
      <c r="E13" s="143">
        <f>Productivities!E13</f>
        <v>0</v>
      </c>
      <c r="F13" s="143">
        <f>Productivities!F13</f>
        <v>3.2021607581529423</v>
      </c>
      <c r="G13" s="143">
        <f t="shared" si="14"/>
        <v>104.96995192549596</v>
      </c>
      <c r="H13" s="144">
        <f>Productivities!I13</f>
        <v>0</v>
      </c>
      <c r="I13" s="144">
        <f>Productivities!J13</f>
        <v>54.193176018425312</v>
      </c>
      <c r="J13" s="144">
        <f>Productivities!K13</f>
        <v>0.24271882352932336</v>
      </c>
      <c r="K13" s="144">
        <f>Productivities!L13</f>
        <v>0</v>
      </c>
      <c r="L13" s="144">
        <f>Productivities!M13</f>
        <v>46.329295755373067</v>
      </c>
      <c r="M13" s="144">
        <f>Productivities!N13</f>
        <v>0</v>
      </c>
      <c r="N13" s="144">
        <f>Productivities!O13</f>
        <v>0</v>
      </c>
      <c r="O13" s="144">
        <f>Productivities!U13-Productivities!G13</f>
        <v>2.1053250087380064</v>
      </c>
      <c r="P13" s="144">
        <f>Productivities!H13</f>
        <v>0</v>
      </c>
      <c r="Q13" s="144">
        <f t="shared" si="15"/>
        <v>102.87051560606571</v>
      </c>
      <c r="R13" s="144">
        <f t="shared" si="16"/>
        <v>100.7651905973277</v>
      </c>
      <c r="S13" s="119">
        <f t="shared" si="1"/>
        <v>0</v>
      </c>
      <c r="T13" s="166">
        <f t="shared" si="2"/>
        <v>-101.76779116734302</v>
      </c>
      <c r="U13" s="119">
        <f t="shared" si="3"/>
        <v>0</v>
      </c>
      <c r="V13" s="166">
        <f t="shared" si="4"/>
        <v>-3.2021607581529423</v>
      </c>
      <c r="W13" s="119">
        <f t="shared" si="5"/>
        <v>54.193176018425312</v>
      </c>
      <c r="X13" s="119">
        <f t="shared" si="6"/>
        <v>0.24271882352932336</v>
      </c>
      <c r="Y13" s="119">
        <f t="shared" si="7"/>
        <v>0</v>
      </c>
      <c r="Z13" s="119">
        <f t="shared" si="8"/>
        <v>46.329295755373067</v>
      </c>
      <c r="AA13" s="119">
        <f t="shared" si="9"/>
        <v>0</v>
      </c>
      <c r="AB13" s="119">
        <f t="shared" si="10"/>
        <v>0</v>
      </c>
      <c r="AC13" s="119">
        <f t="shared" si="11"/>
        <v>0</v>
      </c>
      <c r="AD13" s="119">
        <f t="shared" si="12"/>
        <v>0</v>
      </c>
      <c r="AE13" s="166">
        <f t="shared" si="13"/>
        <v>2.1053250087380064</v>
      </c>
      <c r="AF13" s="166"/>
      <c r="AG13" s="166" t="s">
        <v>182</v>
      </c>
      <c r="AH13" s="190">
        <f>AVERAGE(Y10:Y17)</f>
        <v>2.7692137041008012E-2</v>
      </c>
      <c r="AI13" s="190">
        <f>STDEVA(Y10:Y17)</f>
        <v>7.8325191548975756E-2</v>
      </c>
      <c r="AJ13" s="190">
        <f>AVERAGE(Y21:Y29)</f>
        <v>0</v>
      </c>
      <c r="AK13" s="190">
        <f>STDEVA(Y21:Y29)</f>
        <v>0</v>
      </c>
      <c r="AL13" s="190">
        <f>AVERAGE(Y32:Y37)</f>
        <v>0.57947275652267949</v>
      </c>
      <c r="AM13" s="190">
        <f>STDEVA(Y32:Y37)</f>
        <v>7.501735823765332E-2</v>
      </c>
      <c r="AN13" s="190">
        <f>AVERAGE(Y41:Y46)</f>
        <v>0.64168038034686481</v>
      </c>
      <c r="AO13" s="190">
        <f>STDEVA(Y41:Y46)</f>
        <v>9.6851006877849963E-2</v>
      </c>
      <c r="AP13" s="190">
        <f>AVERAGE(Y47:Y54)</f>
        <v>1.0613317708888546</v>
      </c>
      <c r="AQ13" s="190">
        <f>STDEVA(Y47:Y54)</f>
        <v>0.20948304137303092</v>
      </c>
      <c r="AR13" s="190">
        <f>AVERAGE(Y56:Y64)</f>
        <v>0.56843052164328889</v>
      </c>
      <c r="AS13" s="190">
        <f>STDEVA(Y56:Y64)</f>
        <v>9.1834210821710158E-2</v>
      </c>
      <c r="AT13" s="166"/>
      <c r="AU13" s="146">
        <v>17.12</v>
      </c>
      <c r="AV13" s="145">
        <f>B13*HRT!E12</f>
        <v>0</v>
      </c>
      <c r="AW13" s="145">
        <f>C13*HRT!E12</f>
        <v>304.8685186396217</v>
      </c>
      <c r="AX13" s="145">
        <f>D13*HRT!E12</f>
        <v>0</v>
      </c>
      <c r="AY13" s="145">
        <f>E13*HRT!E12</f>
        <v>0</v>
      </c>
      <c r="AZ13" s="145">
        <f>F13*HRT!E12</f>
        <v>9.5927994072184131</v>
      </c>
      <c r="BA13" s="99">
        <f>H13*HRT!E12</f>
        <v>0</v>
      </c>
      <c r="BB13" s="99">
        <f>I13*HRT!E12</f>
        <v>162.34796003330561</v>
      </c>
      <c r="BC13" s="99">
        <f>J13*HRT!E12</f>
        <v>0.72711933045356381</v>
      </c>
      <c r="BD13" s="99">
        <f>K13*HRT!E12</f>
        <v>0</v>
      </c>
      <c r="BE13" s="99">
        <f>L13*HRT!E12</f>
        <v>138.78992168879813</v>
      </c>
      <c r="BF13" s="99">
        <f>M13*HRT!E12</f>
        <v>0</v>
      </c>
      <c r="BG13" s="99">
        <f>N13*HRT!E12</f>
        <v>0</v>
      </c>
      <c r="BH13" s="99">
        <f>O13*HRT!E12</f>
        <v>6.3069789498867639</v>
      </c>
      <c r="BI13" s="99">
        <f>P13*HRT!E12</f>
        <v>0</v>
      </c>
    </row>
    <row r="14" spans="1:80">
      <c r="A14" s="111">
        <f>Productivities!A14</f>
        <v>21.045138888890506</v>
      </c>
      <c r="B14" s="143">
        <f>Productivities!B14-Productivities!P14</f>
        <v>0</v>
      </c>
      <c r="C14" s="143">
        <f>Productivities!C14-Productivities!Q14</f>
        <v>114.19867936038951</v>
      </c>
      <c r="D14" s="143">
        <f>Productivities!D14-Productivities!R14</f>
        <v>0</v>
      </c>
      <c r="E14" s="143">
        <f>Productivities!E14</f>
        <v>0</v>
      </c>
      <c r="F14" s="143">
        <f>Productivities!F14</f>
        <v>3.5993398548533011</v>
      </c>
      <c r="G14" s="143">
        <f t="shared" si="14"/>
        <v>117.7980192152428</v>
      </c>
      <c r="H14" s="144">
        <f>Productivities!I14</f>
        <v>0</v>
      </c>
      <c r="I14" s="144">
        <f>Productivities!J14</f>
        <v>60.433339334093517</v>
      </c>
      <c r="J14" s="144">
        <f>Productivities!K14</f>
        <v>0.25111349264500726</v>
      </c>
      <c r="K14" s="144">
        <f>Productivities!L14</f>
        <v>0</v>
      </c>
      <c r="L14" s="144">
        <f>Productivities!M14</f>
        <v>51.404553708060696</v>
      </c>
      <c r="M14" s="144">
        <f>Productivities!N14</f>
        <v>0</v>
      </c>
      <c r="N14" s="144">
        <f>Productivities!O14</f>
        <v>0</v>
      </c>
      <c r="O14" s="144">
        <f>Productivities!U14-Productivities!G14</f>
        <v>0.15129436601986868</v>
      </c>
      <c r="P14" s="144">
        <f>Productivities!H14</f>
        <v>0</v>
      </c>
      <c r="Q14" s="144">
        <f t="shared" si="15"/>
        <v>112.24030090081908</v>
      </c>
      <c r="R14" s="144">
        <f t="shared" si="16"/>
        <v>112.08900653479921</v>
      </c>
      <c r="S14" s="119">
        <f t="shared" si="1"/>
        <v>0</v>
      </c>
      <c r="T14" s="166">
        <f t="shared" si="2"/>
        <v>-114.19867936038951</v>
      </c>
      <c r="U14" s="119">
        <f t="shared" si="3"/>
        <v>0</v>
      </c>
      <c r="V14" s="166">
        <f t="shared" si="4"/>
        <v>-3.5993398548533011</v>
      </c>
      <c r="W14" s="119">
        <f t="shared" si="5"/>
        <v>60.433339334093517</v>
      </c>
      <c r="X14" s="119">
        <f t="shared" si="6"/>
        <v>0.25111349264500726</v>
      </c>
      <c r="Y14" s="119">
        <f t="shared" si="7"/>
        <v>0</v>
      </c>
      <c r="Z14" s="119">
        <f t="shared" si="8"/>
        <v>51.404553708060696</v>
      </c>
      <c r="AA14" s="119">
        <f t="shared" si="9"/>
        <v>0</v>
      </c>
      <c r="AB14" s="119">
        <f t="shared" si="10"/>
        <v>0</v>
      </c>
      <c r="AC14" s="119">
        <f t="shared" si="11"/>
        <v>0</v>
      </c>
      <c r="AD14" s="119">
        <f t="shared" si="12"/>
        <v>0</v>
      </c>
      <c r="AE14" s="166">
        <f t="shared" si="13"/>
        <v>0.15129436601986868</v>
      </c>
      <c r="AF14" s="166"/>
      <c r="AG14" s="166" t="s">
        <v>183</v>
      </c>
      <c r="AH14" s="190">
        <f>AVERAGE(Z10:Z17)</f>
        <v>47.31153308618746</v>
      </c>
      <c r="AI14" s="190">
        <f>STDEVA(Z10:Z17)</f>
        <v>2.7481869185358727</v>
      </c>
      <c r="AJ14" s="190">
        <f>AVERAGE(Z21:Z29)</f>
        <v>97.716164600996677</v>
      </c>
      <c r="AK14" s="190">
        <f>STDEVA(Z21:Z29)</f>
        <v>2.9385251140209725</v>
      </c>
      <c r="AL14" s="190">
        <f>AVERAGE(Z32:Z37)</f>
        <v>184.15048496590649</v>
      </c>
      <c r="AM14" s="190">
        <f>STDEVA(Z32:Z37)</f>
        <v>14.346802013667018</v>
      </c>
      <c r="AN14" s="190">
        <f>AVERAGE(Z41:Z46)</f>
        <v>180.76211783175992</v>
      </c>
      <c r="AO14" s="190">
        <f>STDEVA(Z41:Z46)</f>
        <v>14.702746293402674</v>
      </c>
      <c r="AP14" s="190">
        <f>AVERAGE(Z47:Z54)</f>
        <v>179.95097959616797</v>
      </c>
      <c r="AQ14" s="190">
        <f>STDEVA(Z47:Z54)</f>
        <v>23.825696883810245</v>
      </c>
      <c r="AR14" s="190">
        <f>AVERAGE(Z56:Z64)</f>
        <v>217.71592446092058</v>
      </c>
      <c r="AS14" s="190">
        <f>STDEVA(Z56:Z64)</f>
        <v>27.719555232026284</v>
      </c>
      <c r="AT14" s="166"/>
      <c r="AU14" s="146"/>
      <c r="AV14" s="145">
        <f>B14*HRT!E13</f>
        <v>0</v>
      </c>
      <c r="AW14" s="145">
        <f>C14*HRT!E13</f>
        <v>312.43895608408553</v>
      </c>
      <c r="AX14" s="145">
        <f>D14*HRT!E13</f>
        <v>0</v>
      </c>
      <c r="AY14" s="145">
        <f>E14*HRT!E13</f>
        <v>0</v>
      </c>
      <c r="AZ14" s="145">
        <f>F14*HRT!E13</f>
        <v>9.8475218202240846</v>
      </c>
      <c r="BA14" s="99">
        <f>H14*HRT!E13</f>
        <v>0</v>
      </c>
      <c r="BB14" s="99">
        <f>I14*HRT!E13</f>
        <v>165.34104912572855</v>
      </c>
      <c r="BC14" s="99">
        <f>J14*HRT!E13</f>
        <v>0.68702753779697612</v>
      </c>
      <c r="BD14" s="99">
        <f>K14*HRT!E13</f>
        <v>0</v>
      </c>
      <c r="BE14" s="99">
        <f>L14*HRT!E13</f>
        <v>140.63897400976049</v>
      </c>
      <c r="BF14" s="99">
        <f>M14*HRT!E13</f>
        <v>0</v>
      </c>
      <c r="BG14" s="99">
        <f>N14*HRT!E13</f>
        <v>0</v>
      </c>
      <c r="BH14" s="99">
        <f>O14*HRT!E13</f>
        <v>0.4139299512516717</v>
      </c>
      <c r="BI14" s="99">
        <f>P14*HRT!E13</f>
        <v>0</v>
      </c>
    </row>
    <row r="15" spans="1:80">
      <c r="A15" s="111">
        <f>Productivities!A15</f>
        <v>23.013888888890506</v>
      </c>
      <c r="B15" s="143">
        <f>Productivities!B15-Productivities!P15</f>
        <v>0</v>
      </c>
      <c r="C15" s="143">
        <f>Productivities!C15-Productivities!Q15</f>
        <v>112.01965700545207</v>
      </c>
      <c r="D15" s="143">
        <f>Productivities!D15-Productivities!R15</f>
        <v>0</v>
      </c>
      <c r="E15" s="143">
        <f>Productivities!E15</f>
        <v>0</v>
      </c>
      <c r="F15" s="143">
        <f>Productivities!F15</f>
        <v>3.5434218428469637</v>
      </c>
      <c r="G15" s="143">
        <f t="shared" si="14"/>
        <v>115.56307884829904</v>
      </c>
      <c r="H15" s="144">
        <f>Productivities!I15</f>
        <v>0</v>
      </c>
      <c r="I15" s="144">
        <f>Productivities!J15</f>
        <v>59.865530925236243</v>
      </c>
      <c r="J15" s="144">
        <f>Productivities!K15</f>
        <v>0.20634053681590248</v>
      </c>
      <c r="K15" s="144">
        <f>Productivities!L15</f>
        <v>0</v>
      </c>
      <c r="L15" s="144">
        <f>Productivities!M15</f>
        <v>50.323580081505014</v>
      </c>
      <c r="M15" s="144">
        <f>Productivities!N15</f>
        <v>0</v>
      </c>
      <c r="N15" s="144">
        <f>Productivities!O15</f>
        <v>0</v>
      </c>
      <c r="O15" s="144">
        <f>Productivities!U15-Productivities!G15</f>
        <v>1.5795828145536319</v>
      </c>
      <c r="P15" s="144">
        <f>Productivities!H15</f>
        <v>0</v>
      </c>
      <c r="Q15" s="144">
        <f t="shared" si="15"/>
        <v>111.97503435811079</v>
      </c>
      <c r="R15" s="144">
        <f t="shared" si="16"/>
        <v>110.39545154355716</v>
      </c>
      <c r="S15" s="119">
        <f t="shared" si="1"/>
        <v>0</v>
      </c>
      <c r="T15" s="166">
        <f t="shared" si="2"/>
        <v>-112.01965700545207</v>
      </c>
      <c r="U15" s="119">
        <f t="shared" si="3"/>
        <v>0</v>
      </c>
      <c r="V15" s="166">
        <f t="shared" si="4"/>
        <v>-3.5434218428469637</v>
      </c>
      <c r="W15" s="119">
        <f t="shared" si="5"/>
        <v>59.865530925236243</v>
      </c>
      <c r="X15" s="119">
        <f t="shared" si="6"/>
        <v>0.20634053681590248</v>
      </c>
      <c r="Y15" s="119">
        <f t="shared" si="7"/>
        <v>0</v>
      </c>
      <c r="Z15" s="119">
        <f t="shared" si="8"/>
        <v>50.323580081505014</v>
      </c>
      <c r="AA15" s="119">
        <f t="shared" si="9"/>
        <v>0</v>
      </c>
      <c r="AB15" s="119">
        <f t="shared" si="10"/>
        <v>0</v>
      </c>
      <c r="AC15" s="119">
        <f t="shared" si="11"/>
        <v>0</v>
      </c>
      <c r="AD15" s="119">
        <f t="shared" si="12"/>
        <v>0</v>
      </c>
      <c r="AE15" s="166">
        <f t="shared" si="13"/>
        <v>1.5795828145536319</v>
      </c>
      <c r="AF15" s="166"/>
      <c r="AG15" s="166" t="s">
        <v>184</v>
      </c>
      <c r="AH15" s="190">
        <f>AVERAGE(AA10:AA17)</f>
        <v>0</v>
      </c>
      <c r="AI15" s="190">
        <f>STDEVA(AA10:AA17)</f>
        <v>0</v>
      </c>
      <c r="AJ15" s="190">
        <f>AVERAGE(AA21:AA29)</f>
        <v>0.63716212736089528</v>
      </c>
      <c r="AK15" s="190">
        <f>STDEVA(AA21:AA29)</f>
        <v>3.0490385752051395E-2</v>
      </c>
      <c r="AL15" s="190">
        <f>AVERAGE(AA32:AA37)</f>
        <v>0.85816694615680655</v>
      </c>
      <c r="AM15" s="190">
        <f>STDEVA(AA32:AA37)</f>
        <v>0.13782105226941482</v>
      </c>
      <c r="AN15" s="190">
        <f>AVERAGE(AA41:AA46)</f>
        <v>1.4079786838580233</v>
      </c>
      <c r="AO15" s="190">
        <f>STDEVA(AA41:AA46)</f>
        <v>0.1328236709510385</v>
      </c>
      <c r="AP15" s="190">
        <f>AVERAGE(AA47:AA54)</f>
        <v>1.6339042834410236</v>
      </c>
      <c r="AQ15" s="190">
        <f>STDEVA(AA47:AA54)</f>
        <v>0.30303817169590941</v>
      </c>
      <c r="AR15" s="190">
        <f>AVERAGE(AA56:AA64)</f>
        <v>1.4806464766601184</v>
      </c>
      <c r="AS15" s="190">
        <f>STDEVA(AA56:AA64)</f>
        <v>0.1284518989104044</v>
      </c>
      <c r="AT15" s="166"/>
      <c r="AU15" s="146"/>
      <c r="AV15" s="145">
        <f>B15*HRT!E14</f>
        <v>0</v>
      </c>
      <c r="AW15" s="145">
        <f>C15*HRT!E14</f>
        <v>325.21572861411198</v>
      </c>
      <c r="AX15" s="145">
        <f>D15*HRT!E14</f>
        <v>0</v>
      </c>
      <c r="AY15" s="145">
        <f>E15*HRT!E14</f>
        <v>0</v>
      </c>
      <c r="AZ15" s="145">
        <f>F15*HRT!E14</f>
        <v>10.287270531033206</v>
      </c>
      <c r="BA15" s="99">
        <f>H15*HRT!E14</f>
        <v>0</v>
      </c>
      <c r="BB15" s="99">
        <f>I15*HRT!E14</f>
        <v>173.80174854288097</v>
      </c>
      <c r="BC15" s="99">
        <f>J15*HRT!E14</f>
        <v>0.59904832613390935</v>
      </c>
      <c r="BD15" s="99">
        <f>K15*HRT!E14</f>
        <v>0</v>
      </c>
      <c r="BE15" s="99">
        <f>L15*HRT!E14</f>
        <v>146.09953467256841</v>
      </c>
      <c r="BF15" s="99">
        <f>M15*HRT!E14</f>
        <v>0</v>
      </c>
      <c r="BG15" s="99">
        <f>N15*HRT!E14</f>
        <v>0</v>
      </c>
      <c r="BH15" s="99">
        <f>O15*HRT!E14</f>
        <v>4.5858484990396526</v>
      </c>
      <c r="BI15" s="99">
        <f>P15*HRT!E14</f>
        <v>0</v>
      </c>
    </row>
    <row r="16" spans="1:80">
      <c r="A16" s="111">
        <f>Productivities!A16</f>
        <v>26.003472222226264</v>
      </c>
      <c r="B16" s="143">
        <f>Productivities!B16-Productivities!P16</f>
        <v>0</v>
      </c>
      <c r="C16" s="143">
        <f>Productivities!C16-Productivities!Q16</f>
        <v>110.61004523857979</v>
      </c>
      <c r="D16" s="143">
        <f>Productivities!D16-Productivities!R16</f>
        <v>0</v>
      </c>
      <c r="E16" s="143">
        <f>Productivities!E16</f>
        <v>0</v>
      </c>
      <c r="F16" s="143">
        <f>Productivities!F16</f>
        <v>3.5185120382910759</v>
      </c>
      <c r="G16" s="143">
        <f t="shared" si="14"/>
        <v>114.12855727687086</v>
      </c>
      <c r="H16" s="144">
        <f>Productivities!I16</f>
        <v>0</v>
      </c>
      <c r="I16" s="144">
        <f>Productivities!J16</f>
        <v>58.28413255129955</v>
      </c>
      <c r="J16" s="144">
        <f>Productivities!K16</f>
        <v>0.24542671390439311</v>
      </c>
      <c r="K16" s="144">
        <f>Productivities!L16</f>
        <v>0</v>
      </c>
      <c r="L16" s="144">
        <f>Productivities!M16</f>
        <v>48.484903940919011</v>
      </c>
      <c r="M16" s="144">
        <f>Productivities!N16</f>
        <v>0</v>
      </c>
      <c r="N16" s="144">
        <f>Productivities!O16</f>
        <v>0</v>
      </c>
      <c r="O16" s="144">
        <f>Productivities!U16-Productivities!G16</f>
        <v>8.515047386653336</v>
      </c>
      <c r="P16" s="144">
        <f>Productivities!H16</f>
        <v>0</v>
      </c>
      <c r="Q16" s="144">
        <f t="shared" si="15"/>
        <v>115.52951059277629</v>
      </c>
      <c r="R16" s="144">
        <f t="shared" si="16"/>
        <v>107.01446320612295</v>
      </c>
      <c r="S16" s="119">
        <f t="shared" si="1"/>
        <v>0</v>
      </c>
      <c r="T16" s="166">
        <f t="shared" si="2"/>
        <v>-110.61004523857979</v>
      </c>
      <c r="U16" s="119">
        <f t="shared" si="3"/>
        <v>0</v>
      </c>
      <c r="V16" s="166">
        <f t="shared" si="4"/>
        <v>-3.5185120382910759</v>
      </c>
      <c r="W16" s="119">
        <f t="shared" si="5"/>
        <v>58.28413255129955</v>
      </c>
      <c r="X16" s="119">
        <f t="shared" si="6"/>
        <v>0.24542671390439311</v>
      </c>
      <c r="Y16" s="119">
        <f t="shared" si="7"/>
        <v>0</v>
      </c>
      <c r="Z16" s="119">
        <f t="shared" si="8"/>
        <v>48.484903940919011</v>
      </c>
      <c r="AA16" s="119">
        <f t="shared" si="9"/>
        <v>0</v>
      </c>
      <c r="AB16" s="119">
        <f t="shared" si="10"/>
        <v>0</v>
      </c>
      <c r="AC16" s="119">
        <f t="shared" si="11"/>
        <v>0</v>
      </c>
      <c r="AD16" s="119">
        <f t="shared" si="12"/>
        <v>0</v>
      </c>
      <c r="AE16" s="166">
        <f t="shared" si="13"/>
        <v>8.515047386653336</v>
      </c>
      <c r="AF16" s="166"/>
      <c r="AG16" s="166" t="s">
        <v>185</v>
      </c>
      <c r="AH16" s="190">
        <f>AVERAGE(AB10:AB17)</f>
        <v>6.4727467220515533E-2</v>
      </c>
      <c r="AI16" s="190">
        <f>STDEVA(AB10:AB17)</f>
        <v>0.12551832576709018</v>
      </c>
      <c r="AJ16" s="190">
        <f>AVERAGE(AB21:AB29)</f>
        <v>0.19485121795241736</v>
      </c>
      <c r="AK16" s="190">
        <f>STDEVA(AB21:AB29)</f>
        <v>0.23916532762022955</v>
      </c>
      <c r="AL16" s="190">
        <f>AVERAGE(AB32:AB37)</f>
        <v>3.7612729735405352</v>
      </c>
      <c r="AM16" s="190">
        <f>STDEVA(AB32:AB37)</f>
        <v>0.46462141683992236</v>
      </c>
      <c r="AN16" s="190">
        <f>AVERAGE(AB41:AB46)</f>
        <v>7.5631849906098401</v>
      </c>
      <c r="AO16" s="190">
        <f>STDEVA(AB41:AB46)</f>
        <v>3.2420526472099849</v>
      </c>
      <c r="AP16" s="190">
        <f>AVERAGE(AB47:AB54)</f>
        <v>8.9931971446186711</v>
      </c>
      <c r="AQ16" s="190">
        <f>STDEVA(AB47:AB54)</f>
        <v>4.1454144244429401</v>
      </c>
      <c r="AR16" s="190">
        <f>AVERAGE(AB56:AB64)</f>
        <v>3.0459390059249563</v>
      </c>
      <c r="AS16" s="190">
        <f>STDEVA(AB56:AB64)</f>
        <v>1.3456574881751702</v>
      </c>
      <c r="AT16" s="166"/>
      <c r="AU16" s="146"/>
      <c r="AV16" s="145">
        <f>B16*HRT!E15</f>
        <v>0</v>
      </c>
      <c r="AW16" s="145">
        <f>C16*HRT!E15</f>
        <v>330.57607352879512</v>
      </c>
      <c r="AX16" s="145">
        <f>D16*HRT!E15</f>
        <v>0</v>
      </c>
      <c r="AY16" s="145">
        <f>E16*HRT!E15</f>
        <v>0</v>
      </c>
      <c r="AZ16" s="145">
        <f>F16*HRT!E15</f>
        <v>10.515644323020043</v>
      </c>
      <c r="BA16" s="99">
        <f>H16*HRT!E15</f>
        <v>0</v>
      </c>
      <c r="BB16" s="99">
        <f>I16*HRT!E15</f>
        <v>174.19159034138218</v>
      </c>
      <c r="BC16" s="99">
        <f>J16*HRT!E15</f>
        <v>0.73349757019438455</v>
      </c>
      <c r="BD16" s="99">
        <f>K16*HRT!E15</f>
        <v>0</v>
      </c>
      <c r="BE16" s="99">
        <f>L16*HRT!E15</f>
        <v>144.90500510725229</v>
      </c>
      <c r="BF16" s="99">
        <f>M16*HRT!E15</f>
        <v>0</v>
      </c>
      <c r="BG16" s="99">
        <f>N16*HRT!E15</f>
        <v>0</v>
      </c>
      <c r="BH16" s="99">
        <f>O16*HRT!E15</f>
        <v>25.448601209049016</v>
      </c>
      <c r="BI16" s="99">
        <f>P16*HRT!E15</f>
        <v>0</v>
      </c>
    </row>
    <row r="17" spans="1:66">
      <c r="A17" s="111">
        <f>Productivities!A17</f>
        <v>28.02986111111386</v>
      </c>
      <c r="B17" s="143">
        <f>Productivities!B17-Productivities!P17</f>
        <v>0</v>
      </c>
      <c r="C17" s="143">
        <f>Productivities!C17-Productivities!Q17</f>
        <v>107.67365449160533</v>
      </c>
      <c r="D17" s="143">
        <f>Productivities!D17-Productivities!R17</f>
        <v>0</v>
      </c>
      <c r="E17" s="143">
        <f>Productivities!E17</f>
        <v>0</v>
      </c>
      <c r="F17" s="143">
        <f>Productivities!F17</f>
        <v>3.4330617935188972</v>
      </c>
      <c r="G17" s="143">
        <f t="shared" si="14"/>
        <v>111.10671628512424</v>
      </c>
      <c r="H17" s="144">
        <f>Productivities!I17</f>
        <v>0</v>
      </c>
      <c r="I17" s="144">
        <f>Productivities!J17</f>
        <v>56.135380144157011</v>
      </c>
      <c r="J17" s="144">
        <f>Productivities!K17</f>
        <v>0.19302199659976038</v>
      </c>
      <c r="K17" s="144">
        <f>Productivities!L17</f>
        <v>0</v>
      </c>
      <c r="L17" s="144">
        <f>Productivities!M17</f>
        <v>47.244957759031827</v>
      </c>
      <c r="M17" s="144">
        <f>Productivities!N17</f>
        <v>0</v>
      </c>
      <c r="N17" s="144">
        <f>Productivities!O17</f>
        <v>0</v>
      </c>
      <c r="O17" s="144">
        <f>Productivities!U17-Productivities!G17</f>
        <v>11.696266843833243</v>
      </c>
      <c r="P17" s="144">
        <f>Productivities!H17</f>
        <v>0</v>
      </c>
      <c r="Q17" s="144">
        <f t="shared" si="15"/>
        <v>115.26962674362184</v>
      </c>
      <c r="R17" s="144">
        <f t="shared" si="16"/>
        <v>103.5733598997886</v>
      </c>
      <c r="S17" s="119">
        <f t="shared" si="1"/>
        <v>0</v>
      </c>
      <c r="T17" s="166">
        <f t="shared" si="2"/>
        <v>-107.67365449160533</v>
      </c>
      <c r="U17" s="119">
        <f t="shared" si="3"/>
        <v>0</v>
      </c>
      <c r="V17" s="166">
        <f t="shared" si="4"/>
        <v>-3.4330617935188972</v>
      </c>
      <c r="W17" s="119">
        <f t="shared" si="5"/>
        <v>56.135380144157011</v>
      </c>
      <c r="X17" s="119">
        <f t="shared" si="6"/>
        <v>0.19302199659976038</v>
      </c>
      <c r="Y17" s="119">
        <f t="shared" si="7"/>
        <v>0</v>
      </c>
      <c r="Z17" s="119">
        <f t="shared" si="8"/>
        <v>47.244957759031827</v>
      </c>
      <c r="AA17" s="119">
        <f t="shared" si="9"/>
        <v>0</v>
      </c>
      <c r="AB17" s="119">
        <f t="shared" si="10"/>
        <v>0</v>
      </c>
      <c r="AC17" s="119">
        <f t="shared" si="11"/>
        <v>0</v>
      </c>
      <c r="AD17" s="119">
        <f t="shared" si="12"/>
        <v>0</v>
      </c>
      <c r="AE17" s="166">
        <f t="shared" si="13"/>
        <v>11.696266843833243</v>
      </c>
      <c r="AF17" s="166"/>
      <c r="AG17" s="166" t="s">
        <v>196</v>
      </c>
      <c r="AH17" s="190">
        <f>AVERAGE(AC10:AC17)</f>
        <v>0</v>
      </c>
      <c r="AI17" s="190">
        <f>STDEVA(AC10:AC17)</f>
        <v>0</v>
      </c>
      <c r="AJ17" s="190">
        <f>AVERAGE(AC21:AC29)</f>
        <v>0</v>
      </c>
      <c r="AK17" s="190">
        <f>STDEVA(AC21:AC29)</f>
        <v>0</v>
      </c>
      <c r="AL17" s="190">
        <f>AVERAGE(AC32:AC37)</f>
        <v>9.922479169430283E-2</v>
      </c>
      <c r="AM17" s="190">
        <f>STDEVA(AC32:AC37)</f>
        <v>0.24305010948499225</v>
      </c>
      <c r="AN17" s="190">
        <f>AVERAGE(AC41:AC46)</f>
        <v>5.4232296681940149E-2</v>
      </c>
      <c r="AO17" s="190">
        <f>STDEVA(AC41:AC46)</f>
        <v>0.13284145444998657</v>
      </c>
      <c r="AP17" s="190">
        <f>AVERAGE(AC47:AC54)</f>
        <v>0.62815402153358668</v>
      </c>
      <c r="AQ17" s="190">
        <f>STDEVA(AC47:AC54)</f>
        <v>0.55245077922052477</v>
      </c>
      <c r="AR17" s="190">
        <f>AVERAGE(AC56:AC64)</f>
        <v>-54.803001919663799</v>
      </c>
      <c r="AS17" s="190">
        <f>STDEVA(AC56:AC64)</f>
        <v>21.838199847309909</v>
      </c>
      <c r="AT17" s="166"/>
      <c r="AU17" s="146"/>
      <c r="AV17" s="145">
        <f>B17*HRT!E16</f>
        <v>0</v>
      </c>
      <c r="AW17" s="145">
        <f>C17*HRT!E16</f>
        <v>350.37630530103769</v>
      </c>
      <c r="AX17" s="145">
        <f>D17*HRT!E16</f>
        <v>0</v>
      </c>
      <c r="AY17" s="145">
        <f>E17*HRT!E16</f>
        <v>0</v>
      </c>
      <c r="AZ17" s="145">
        <f>F17*HRT!E16</f>
        <v>11.171381827456086</v>
      </c>
      <c r="BA17" s="99">
        <f>H17*HRT!E16</f>
        <v>0</v>
      </c>
      <c r="BB17" s="99">
        <f>I17*HRT!E16</f>
        <v>182.66777685262278</v>
      </c>
      <c r="BC17" s="99">
        <f>J17*HRT!E16</f>
        <v>0.62810475161987034</v>
      </c>
      <c r="BD17" s="99">
        <f>K17*HRT!E16</f>
        <v>0</v>
      </c>
      <c r="BE17" s="99">
        <f>L17*HRT!E16</f>
        <v>153.73782771535579</v>
      </c>
      <c r="BF17" s="99">
        <f>M17*HRT!E16</f>
        <v>0</v>
      </c>
      <c r="BG17" s="99">
        <f>N17*HRT!E16</f>
        <v>0</v>
      </c>
      <c r="BH17" s="99">
        <f>O17*HRT!E16</f>
        <v>38.060329445554622</v>
      </c>
      <c r="BI17" s="99">
        <f>P17*HRT!E16</f>
        <v>0</v>
      </c>
    </row>
    <row r="18" spans="1:66" s="172" customFormat="1">
      <c r="A18" s="176">
        <f>Productivities!A18</f>
        <v>29.149305555554747</v>
      </c>
      <c r="B18" s="177">
        <f>Productivities!B18-Productivities!P18</f>
        <v>87.832606659933589</v>
      </c>
      <c r="C18" s="177">
        <f>Productivities!C18-Productivities!Q18</f>
        <v>78.610090594521338</v>
      </c>
      <c r="D18" s="177">
        <f>Productivities!D18-Productivities!R18</f>
        <v>0</v>
      </c>
      <c r="E18" s="177">
        <f>Productivities!E18</f>
        <v>0</v>
      </c>
      <c r="F18" s="177">
        <f>Productivities!F18</f>
        <v>3.3868811714914271</v>
      </c>
      <c r="G18" s="177">
        <f t="shared" si="14"/>
        <v>169.82957842594635</v>
      </c>
      <c r="H18" s="178">
        <f>Productivities!I18</f>
        <v>0</v>
      </c>
      <c r="I18" s="178">
        <f>Productivities!J18</f>
        <v>41.707541891795536</v>
      </c>
      <c r="J18" s="178">
        <f>Productivities!K18</f>
        <v>0.27095374499822317</v>
      </c>
      <c r="K18" s="178">
        <f>Productivities!L18</f>
        <v>0</v>
      </c>
      <c r="L18" s="178">
        <f>Productivities!M18</f>
        <v>34.073883623734524</v>
      </c>
      <c r="M18" s="178">
        <f>Productivities!N18</f>
        <v>0</v>
      </c>
      <c r="N18" s="178">
        <f>Productivities!O18</f>
        <v>0</v>
      </c>
      <c r="O18" s="178">
        <f>Productivities!U18-Productivities!G18</f>
        <v>11.446671895304561</v>
      </c>
      <c r="P18" s="178">
        <f>Productivities!H18</f>
        <v>0</v>
      </c>
      <c r="Q18" s="178">
        <f t="shared" si="15"/>
        <v>87.499051155832845</v>
      </c>
      <c r="R18" s="178">
        <f t="shared" si="16"/>
        <v>76.052379260528284</v>
      </c>
      <c r="S18" s="170">
        <f t="shared" si="1"/>
        <v>-87.832606659933589</v>
      </c>
      <c r="T18" s="171">
        <f t="shared" si="2"/>
        <v>-78.610090594521338</v>
      </c>
      <c r="U18" s="170">
        <f t="shared" si="3"/>
        <v>0</v>
      </c>
      <c r="V18" s="171">
        <f t="shared" si="4"/>
        <v>-3.3868811714914271</v>
      </c>
      <c r="W18" s="170">
        <f t="shared" si="5"/>
        <v>41.707541891795536</v>
      </c>
      <c r="X18" s="170">
        <f t="shared" si="6"/>
        <v>0.27095374499822317</v>
      </c>
      <c r="Y18" s="170">
        <f t="shared" si="7"/>
        <v>0</v>
      </c>
      <c r="Z18" s="170">
        <f t="shared" si="8"/>
        <v>34.073883623734524</v>
      </c>
      <c r="AA18" s="170">
        <f t="shared" si="9"/>
        <v>0</v>
      </c>
      <c r="AB18" s="170">
        <f t="shared" si="10"/>
        <v>0</v>
      </c>
      <c r="AC18" s="170">
        <f t="shared" si="11"/>
        <v>0</v>
      </c>
      <c r="AD18" s="170">
        <f t="shared" si="12"/>
        <v>0</v>
      </c>
      <c r="AE18" s="171">
        <f t="shared" si="13"/>
        <v>11.446671895304561</v>
      </c>
      <c r="AF18" s="171"/>
      <c r="AG18" s="171" t="s">
        <v>324</v>
      </c>
      <c r="AH18" s="191">
        <f>AVERAGE(AD10:AD17)</f>
        <v>0</v>
      </c>
      <c r="AI18" s="191">
        <f>STDEVA(AD10:AD17)</f>
        <v>0</v>
      </c>
      <c r="AJ18" s="191">
        <f>AVERAGE(AD21:AD29)</f>
        <v>0</v>
      </c>
      <c r="AK18" s="191">
        <f>STDEVA(AD21:AD29)</f>
        <v>0</v>
      </c>
      <c r="AL18" s="191">
        <f>AVERAGE(AD32:AD37)</f>
        <v>0</v>
      </c>
      <c r="AM18" s="191">
        <f>STDEVA(AD32:AD37)</f>
        <v>0</v>
      </c>
      <c r="AN18" s="191">
        <f>AVERAGE(AD41:AD46)</f>
        <v>0</v>
      </c>
      <c r="AO18" s="191">
        <f>STDEVA(AD41:AD46)</f>
        <v>0</v>
      </c>
      <c r="AP18" s="191">
        <f>AVERAGE(AD47:AD54)</f>
        <v>3.6014807094856813E-2</v>
      </c>
      <c r="AQ18" s="191">
        <f>STDEVA(AD47:AD54)</f>
        <v>0.10186525727959456</v>
      </c>
      <c r="AR18" s="191">
        <f>AVERAGE(AD56:AD64)</f>
        <v>3.3951885819320444</v>
      </c>
      <c r="AS18" s="191">
        <f>STDEVA(AD56:AD64)</f>
        <v>2.3051106571228481</v>
      </c>
      <c r="AT18" s="171"/>
      <c r="AU18" s="175">
        <v>29.15</v>
      </c>
      <c r="AV18" s="173">
        <f>B18*HRT!E17</f>
        <v>290.24826834839837</v>
      </c>
      <c r="AW18" s="173">
        <f>C18*HRT!E17</f>
        <v>259.77189494227616</v>
      </c>
      <c r="AX18" s="173">
        <f>D18*HRT!E17</f>
        <v>0</v>
      </c>
      <c r="AY18" s="173">
        <f>E18*HRT!E17</f>
        <v>0</v>
      </c>
      <c r="AZ18" s="173">
        <f>F18*HRT!E17</f>
        <v>11.192157815983515</v>
      </c>
      <c r="BA18" s="174">
        <f>H18*HRT!E17</f>
        <v>0</v>
      </c>
      <c r="BB18" s="174">
        <f>I18*HRT!E17</f>
        <v>137.82514571190674</v>
      </c>
      <c r="BC18" s="174">
        <f>J18*HRT!E17</f>
        <v>0.89538336933045359</v>
      </c>
      <c r="BD18" s="174">
        <f>K18*HRT!E17</f>
        <v>0</v>
      </c>
      <c r="BE18" s="174">
        <f>L18*HRT!E17</f>
        <v>112.59925093632957</v>
      </c>
      <c r="BF18" s="174">
        <f>M18*HRT!E17</f>
        <v>0</v>
      </c>
      <c r="BG18" s="174">
        <f>N18*HRT!E17</f>
        <v>0</v>
      </c>
      <c r="BH18" s="174">
        <f>O18*HRT!E17</f>
        <v>37.826233585755453</v>
      </c>
      <c r="BI18" s="174">
        <f>P18*HRT!E17</f>
        <v>0</v>
      </c>
    </row>
    <row r="19" spans="1:66">
      <c r="A19" s="142">
        <f>Productivities!A19</f>
        <v>29.990972222221899</v>
      </c>
      <c r="B19" s="143">
        <f>Productivities!B19-Productivities!P19</f>
        <v>94.326922552869789</v>
      </c>
      <c r="C19" s="143">
        <f>Productivities!C19-Productivities!Q19</f>
        <v>86.86247584165028</v>
      </c>
      <c r="D19" s="143">
        <f>Productivities!D19-Productivities!R19</f>
        <v>0</v>
      </c>
      <c r="E19" s="143">
        <f>Productivities!E19</f>
        <v>0</v>
      </c>
      <c r="F19" s="143">
        <f>Productivities!F19</f>
        <v>3.6373061224969714</v>
      </c>
      <c r="G19" s="143">
        <f t="shared" si="14"/>
        <v>184.82670451701705</v>
      </c>
      <c r="H19" s="144">
        <f>Productivities!I19</f>
        <v>0</v>
      </c>
      <c r="I19" s="144">
        <f>Productivities!J19</f>
        <v>50.517487285296689</v>
      </c>
      <c r="J19" s="144">
        <f>Productivities!K19</f>
        <v>0.99243292776202818</v>
      </c>
      <c r="K19" s="144">
        <f>Productivities!L19</f>
        <v>0</v>
      </c>
      <c r="L19" s="144">
        <f>Productivities!M19</f>
        <v>40.995866602025181</v>
      </c>
      <c r="M19" s="144">
        <f>Productivities!N19</f>
        <v>0</v>
      </c>
      <c r="N19" s="144">
        <f>Productivities!O19</f>
        <v>0</v>
      </c>
      <c r="O19" s="144">
        <f>Productivities!U19-Productivities!G19</f>
        <v>5.9970334043197084</v>
      </c>
      <c r="P19" s="144">
        <f>Productivities!H19</f>
        <v>0</v>
      </c>
      <c r="Q19" s="144">
        <f t="shared" si="15"/>
        <v>98.502820219403603</v>
      </c>
      <c r="R19" s="144">
        <f t="shared" si="16"/>
        <v>92.505786815083894</v>
      </c>
      <c r="S19" s="119">
        <f t="shared" si="1"/>
        <v>-94.326922552869789</v>
      </c>
      <c r="T19" s="166">
        <f t="shared" si="2"/>
        <v>-86.86247584165028</v>
      </c>
      <c r="U19" s="119">
        <f t="shared" si="3"/>
        <v>0</v>
      </c>
      <c r="V19" s="166">
        <f t="shared" si="4"/>
        <v>-3.6373061224969714</v>
      </c>
      <c r="W19" s="119">
        <f t="shared" si="5"/>
        <v>50.517487285296689</v>
      </c>
      <c r="X19" s="119">
        <f t="shared" si="6"/>
        <v>0.99243292776202818</v>
      </c>
      <c r="Y19" s="119">
        <f t="shared" si="7"/>
        <v>0</v>
      </c>
      <c r="Z19" s="119">
        <f t="shared" si="8"/>
        <v>40.995866602025181</v>
      </c>
      <c r="AA19" s="119">
        <f t="shared" si="9"/>
        <v>0</v>
      </c>
      <c r="AB19" s="119">
        <f t="shared" si="10"/>
        <v>0</v>
      </c>
      <c r="AC19" s="119">
        <f t="shared" si="11"/>
        <v>0</v>
      </c>
      <c r="AD19" s="119">
        <f t="shared" si="12"/>
        <v>0</v>
      </c>
      <c r="AE19" s="166">
        <f t="shared" si="13"/>
        <v>5.9970334043197084</v>
      </c>
      <c r="AF19" s="166"/>
      <c r="AG19" s="166" t="s">
        <v>193</v>
      </c>
      <c r="AH19" s="190">
        <f>AVERAGE(U10:U17)</f>
        <v>0</v>
      </c>
      <c r="AI19" s="190">
        <f>STDEVA(U10:U17)</f>
        <v>0</v>
      </c>
      <c r="AJ19" s="190">
        <f>AVERAGE(U21:U29)</f>
        <v>0</v>
      </c>
      <c r="AK19" s="190">
        <f>STDEVA(U21:U29)</f>
        <v>0</v>
      </c>
      <c r="AL19" s="190">
        <f>AVERAGE(U32:U37)</f>
        <v>-73.29734953939662</v>
      </c>
      <c r="AM19" s="190">
        <f>STDEVA(U32:U37)</f>
        <v>5.269291717864121</v>
      </c>
      <c r="AN19" s="190">
        <f>AVERAGE(U41:U46)</f>
        <v>-89.902084291618579</v>
      </c>
      <c r="AO19" s="190">
        <f>STDEVA(U41:U46)</f>
        <v>7.489225285955162</v>
      </c>
      <c r="AP19" s="190">
        <f>AVERAGE(U47:U54)</f>
        <v>-92.263642183336188</v>
      </c>
      <c r="AQ19" s="190">
        <f>STDEVA(U47:U54)</f>
        <v>10.232258976168058</v>
      </c>
      <c r="AR19" s="190">
        <f>AVERAGE(U56:U64)</f>
        <v>-93.263865449617185</v>
      </c>
      <c r="AS19" s="190">
        <f>STDEVA(U56:U64)</f>
        <v>5.3876351863238696</v>
      </c>
      <c r="AT19" s="166"/>
      <c r="AV19" s="145">
        <f>B19*HRT!E18</f>
        <v>277.13238410994245</v>
      </c>
      <c r="AW19" s="145">
        <f>C19*HRT!E18</f>
        <v>255.20184872135897</v>
      </c>
      <c r="AX19" s="145">
        <f>D19*HRT!E18</f>
        <v>0</v>
      </c>
      <c r="AY19" s="145">
        <f>E19*HRT!E18</f>
        <v>0</v>
      </c>
      <c r="AZ19" s="145">
        <f>F19*HRT!E18</f>
        <v>10.686400978472378</v>
      </c>
      <c r="BA19" s="99">
        <f>H19*HRT!E18</f>
        <v>0</v>
      </c>
      <c r="BB19" s="99">
        <f>I19*HRT!E18</f>
        <v>148.42031640299749</v>
      </c>
      <c r="BC19" s="99">
        <f>J19*HRT!E18</f>
        <v>2.9157667386609072</v>
      </c>
      <c r="BD19" s="99">
        <f>K19*HRT!E18</f>
        <v>0</v>
      </c>
      <c r="BE19" s="99">
        <f>L19*HRT!E18</f>
        <v>120.44580637839063</v>
      </c>
      <c r="BF19" s="99">
        <f>M19*HRT!E18</f>
        <v>0</v>
      </c>
      <c r="BG19" s="99">
        <f>N19*HRT!E18</f>
        <v>0</v>
      </c>
      <c r="BH19" s="99">
        <f>O19*HRT!E18</f>
        <v>17.619276871823711</v>
      </c>
      <c r="BI19" s="99">
        <f>P19*HRT!E18</f>
        <v>0</v>
      </c>
    </row>
    <row r="20" spans="1:66">
      <c r="A20" s="142">
        <f>Productivities!A20</f>
        <v>32.990972222221899</v>
      </c>
      <c r="B20" s="143">
        <f>Productivities!B20-Productivities!P20</f>
        <v>95.222667141948591</v>
      </c>
      <c r="C20" s="143">
        <f>Productivities!C20-Productivities!Q20</f>
        <v>86.017348261268921</v>
      </c>
      <c r="D20" s="143">
        <f>Productivities!D20-Productivities!R20</f>
        <v>0</v>
      </c>
      <c r="E20" s="143">
        <f>Productivities!E20</f>
        <v>0</v>
      </c>
      <c r="F20" s="143">
        <f>Productivities!F20</f>
        <v>3.7161601395941712</v>
      </c>
      <c r="G20" s="143">
        <f t="shared" si="14"/>
        <v>184.95617554281168</v>
      </c>
      <c r="H20" s="144">
        <f>Productivities!I20</f>
        <v>0</v>
      </c>
      <c r="I20" s="144">
        <f>Productivities!J20</f>
        <v>103.75919222656131</v>
      </c>
      <c r="J20" s="144">
        <f>Productivities!K20</f>
        <v>1.2066637009751449</v>
      </c>
      <c r="K20" s="144">
        <f>Productivities!L20</f>
        <v>0</v>
      </c>
      <c r="L20" s="144">
        <f>Productivities!M20</f>
        <v>86.169396914282402</v>
      </c>
      <c r="M20" s="144">
        <f>Productivities!N20</f>
        <v>0.51194076658040355</v>
      </c>
      <c r="N20" s="144">
        <f>Productivities!O20</f>
        <v>0</v>
      </c>
      <c r="O20" s="144">
        <f>Productivities!U20-Productivities!G20</f>
        <v>3.8462528490136521</v>
      </c>
      <c r="P20" s="144">
        <f>Productivities!H20</f>
        <v>0</v>
      </c>
      <c r="Q20" s="144">
        <f t="shared" si="15"/>
        <v>195.49344645741292</v>
      </c>
      <c r="R20" s="144">
        <f t="shared" si="16"/>
        <v>191.64719360839925</v>
      </c>
      <c r="S20" s="119">
        <f t="shared" si="1"/>
        <v>-95.222667141948591</v>
      </c>
      <c r="T20" s="166">
        <f t="shared" si="2"/>
        <v>-86.017348261268921</v>
      </c>
      <c r="U20" s="119">
        <f t="shared" si="3"/>
        <v>0</v>
      </c>
      <c r="V20" s="166">
        <f t="shared" si="4"/>
        <v>-3.7161601395941712</v>
      </c>
      <c r="W20" s="119">
        <f t="shared" si="5"/>
        <v>103.75919222656131</v>
      </c>
      <c r="X20" s="119">
        <f t="shared" si="6"/>
        <v>1.2066637009751449</v>
      </c>
      <c r="Y20" s="119">
        <f t="shared" si="7"/>
        <v>0</v>
      </c>
      <c r="Z20" s="119">
        <f t="shared" si="8"/>
        <v>86.169396914282402</v>
      </c>
      <c r="AA20" s="119">
        <f t="shared" si="9"/>
        <v>0.51194076658040355</v>
      </c>
      <c r="AB20" s="119">
        <f t="shared" si="10"/>
        <v>0</v>
      </c>
      <c r="AC20" s="119">
        <f t="shared" si="11"/>
        <v>0</v>
      </c>
      <c r="AD20" s="119">
        <f t="shared" si="12"/>
        <v>0</v>
      </c>
      <c r="AE20" s="166">
        <f t="shared" si="13"/>
        <v>3.8462528490136521</v>
      </c>
      <c r="AF20" s="166"/>
      <c r="AG20" s="166" t="s">
        <v>315</v>
      </c>
      <c r="AH20" s="190">
        <f>AVERAGE(S10:S17)</f>
        <v>0</v>
      </c>
      <c r="AI20" s="190">
        <f>STDEVA(S10:S17)</f>
        <v>0</v>
      </c>
      <c r="AJ20" s="190">
        <f>AVERAGE(S21:S29)</f>
        <v>-97.278892594536629</v>
      </c>
      <c r="AK20" s="190">
        <f>STDEVA(S21:S29)</f>
        <v>3.7192050496788869</v>
      </c>
      <c r="AL20" s="190">
        <f>AVERAGE(S32:S37)</f>
        <v>-104.22322722314409</v>
      </c>
      <c r="AM20" s="190">
        <f>STDEVA(S32:S37)</f>
        <v>7.8194258987531384</v>
      </c>
      <c r="AN20" s="190">
        <f>AVERAGE(S41:S46)</f>
        <v>-189.05885453652627</v>
      </c>
      <c r="AO20" s="190">
        <f>STDEVA(S41:S46)</f>
        <v>15.528160656741353</v>
      </c>
      <c r="AP20" s="190">
        <f>AVERAGE(S47:S54)</f>
        <v>-195.69704249202601</v>
      </c>
      <c r="AQ20" s="190">
        <f>STDEVA(S47:S54)</f>
        <v>21.711858681451048</v>
      </c>
      <c r="AR20" s="190">
        <f>AVERAGE(S56:S64)</f>
        <v>-199.92182415204837</v>
      </c>
      <c r="AS20" s="190">
        <f>STDEVA(S56:S64)</f>
        <v>11.11554757165189</v>
      </c>
      <c r="AT20" s="166"/>
      <c r="AV20" s="145">
        <f>B20*HRT!E19</f>
        <v>271.00058387655395</v>
      </c>
      <c r="AW20" s="145">
        <f>C20*HRT!E19</f>
        <v>244.80254861552433</v>
      </c>
      <c r="AX20" s="145">
        <f>D20*HRT!E19</f>
        <v>0</v>
      </c>
      <c r="AY20" s="145">
        <f>E20*HRT!E19</f>
        <v>0</v>
      </c>
      <c r="AZ20" s="145">
        <f>F20*HRT!E19</f>
        <v>10.576069730409236</v>
      </c>
      <c r="BA20" s="99">
        <f>H20*HRT!E19</f>
        <v>0</v>
      </c>
      <c r="BB20" s="99">
        <f>I20*HRT!E19</f>
        <v>295.29525395503748</v>
      </c>
      <c r="BC20" s="99">
        <f>J20*HRT!E19</f>
        <v>3.4341252699784022</v>
      </c>
      <c r="BD20" s="99">
        <f>K20*HRT!E19</f>
        <v>0</v>
      </c>
      <c r="BE20" s="99">
        <f>L20*HRT!E19</f>
        <v>245.23527408920668</v>
      </c>
      <c r="BF20" s="99">
        <f>M20*HRT!E19</f>
        <v>1.4569666111818274</v>
      </c>
      <c r="BG20" s="99">
        <f>N20*HRT!E19</f>
        <v>0</v>
      </c>
      <c r="BH20" s="99">
        <f>O20*HRT!E19</f>
        <v>10.946309309586399</v>
      </c>
      <c r="BI20" s="99">
        <f>P20*HRT!E19</f>
        <v>0</v>
      </c>
    </row>
    <row r="21" spans="1:66">
      <c r="A21" s="113">
        <f>Productivities!A21</f>
        <v>35.002083333332848</v>
      </c>
      <c r="B21" s="143">
        <f>Productivities!B21-Productivities!P21</f>
        <v>96.154991564608792</v>
      </c>
      <c r="C21" s="143">
        <f>Productivities!C21-Productivities!Q21</f>
        <v>85.158786820387462</v>
      </c>
      <c r="D21" s="143">
        <f>Productivities!D21-Productivities!R21</f>
        <v>0</v>
      </c>
      <c r="E21" s="143">
        <f>Productivities!E21</f>
        <v>0</v>
      </c>
      <c r="F21" s="143">
        <f>Productivities!F21</f>
        <v>3.7077976261821304</v>
      </c>
      <c r="G21" s="143">
        <f t="shared" si="14"/>
        <v>185.02157601117838</v>
      </c>
      <c r="H21" s="144">
        <f>Productivities!I21</f>
        <v>0</v>
      </c>
      <c r="I21" s="144">
        <f>Productivities!J21</f>
        <v>115.76140680778916</v>
      </c>
      <c r="J21" s="144">
        <f>Productivities!K21</f>
        <v>0.62446008092428817</v>
      </c>
      <c r="K21" s="144">
        <f>Productivities!L21</f>
        <v>0</v>
      </c>
      <c r="L21" s="144">
        <f>Productivities!M21</f>
        <v>98.47317785351666</v>
      </c>
      <c r="M21" s="144">
        <f>Productivities!N21</f>
        <v>0.59394460480145772</v>
      </c>
      <c r="N21" s="144">
        <f>Productivities!O21</f>
        <v>0</v>
      </c>
      <c r="O21" s="144">
        <f>Productivities!U21-Productivities!G21</f>
        <v>7.7322166998814197</v>
      </c>
      <c r="P21" s="144">
        <f>Productivities!H21</f>
        <v>0</v>
      </c>
      <c r="Q21" s="144">
        <f t="shared" si="15"/>
        <v>223.18520604691298</v>
      </c>
      <c r="R21" s="144">
        <f t="shared" si="16"/>
        <v>215.45298934703158</v>
      </c>
      <c r="S21" s="119">
        <f t="shared" si="1"/>
        <v>-96.154991564608792</v>
      </c>
      <c r="T21" s="166">
        <f t="shared" si="2"/>
        <v>-85.158786820387462</v>
      </c>
      <c r="U21" s="119">
        <f t="shared" si="3"/>
        <v>0</v>
      </c>
      <c r="V21" s="166">
        <f t="shared" si="4"/>
        <v>-3.7077976261821304</v>
      </c>
      <c r="W21" s="119">
        <f t="shared" si="5"/>
        <v>115.76140680778916</v>
      </c>
      <c r="X21" s="119">
        <f t="shared" si="6"/>
        <v>0.62446008092428817</v>
      </c>
      <c r="Y21" s="119">
        <f t="shared" si="7"/>
        <v>0</v>
      </c>
      <c r="Z21" s="119">
        <f t="shared" si="8"/>
        <v>98.47317785351666</v>
      </c>
      <c r="AA21" s="119">
        <f t="shared" si="9"/>
        <v>0.59394460480145772</v>
      </c>
      <c r="AB21" s="119">
        <f t="shared" si="10"/>
        <v>0</v>
      </c>
      <c r="AC21" s="119">
        <f t="shared" si="11"/>
        <v>0</v>
      </c>
      <c r="AD21" s="119">
        <f t="shared" si="12"/>
        <v>0</v>
      </c>
      <c r="AE21" s="166">
        <f t="shared" si="13"/>
        <v>7.7322166998814197</v>
      </c>
      <c r="AF21" s="166"/>
      <c r="AG21" s="166" t="s">
        <v>192</v>
      </c>
      <c r="AH21" s="190">
        <f>AVERAGE(T10:T17)</f>
        <v>-109.72253506257681</v>
      </c>
      <c r="AI21" s="190">
        <f>STDEVA(T10:T17)</f>
        <v>3.8261113992077762</v>
      </c>
      <c r="AJ21" s="190">
        <f>AVERAGE(T21:T29)</f>
        <v>-101.91842209719353</v>
      </c>
      <c r="AK21" s="190">
        <f>STDEVA(T21:T29)</f>
        <v>19.956315064580025</v>
      </c>
      <c r="AL21" s="190">
        <f>AVERAGE(T32:T37)</f>
        <v>-128.29862700122786</v>
      </c>
      <c r="AM21" s="190">
        <f>STDEVA(T32:T37)</f>
        <v>9.7073186684622339</v>
      </c>
      <c r="AN21" s="190">
        <f>AVERAGE(T41:T46)</f>
        <v>-18.19308667619347</v>
      </c>
      <c r="AO21" s="190">
        <f>STDEVA(T41:T46)</f>
        <v>1.2177610512565635</v>
      </c>
      <c r="AP21" s="190">
        <f>AVERAGE(T47:T54)</f>
        <v>-18.944949428976017</v>
      </c>
      <c r="AQ21" s="190">
        <f>STDEVA(T47:T54)</f>
        <v>1.8808668605948868</v>
      </c>
      <c r="AR21" s="190">
        <f>AVERAGE(T56:T64)</f>
        <v>-19.763515973033947</v>
      </c>
      <c r="AS21" s="190">
        <f>STDEVA(T56:T64)</f>
        <v>1.601462655255669</v>
      </c>
      <c r="AT21" s="166"/>
      <c r="AU21" s="146"/>
      <c r="AV21" s="145">
        <f>B21*HRT!E20</f>
        <v>271.37905188512343</v>
      </c>
      <c r="AW21" s="145">
        <f>C21*HRT!E20</f>
        <v>240.34436955335528</v>
      </c>
      <c r="AX21" s="145">
        <f>D21*HRT!E20</f>
        <v>0</v>
      </c>
      <c r="AY21" s="145">
        <f>E21*HRT!E20</f>
        <v>0</v>
      </c>
      <c r="AZ21" s="145">
        <f>F21*HRT!E20</f>
        <v>10.464548828950976</v>
      </c>
      <c r="BA21" s="99">
        <f>H21*HRT!E20</f>
        <v>0</v>
      </c>
      <c r="BB21" s="99">
        <f>I21*HRT!E20</f>
        <v>326.71440466278102</v>
      </c>
      <c r="BC21" s="99">
        <f>J21*HRT!E20</f>
        <v>1.7624190064794818</v>
      </c>
      <c r="BD21" s="99">
        <f>K21*HRT!E20</f>
        <v>0</v>
      </c>
      <c r="BE21" s="99">
        <f>L21*HRT!E20</f>
        <v>277.92168879809321</v>
      </c>
      <c r="BF21" s="99">
        <f>M21*HRT!E20</f>
        <v>1.6762949182414575</v>
      </c>
      <c r="BG21" s="99">
        <f>N21*HRT!E20</f>
        <v>0</v>
      </c>
      <c r="BH21" s="99">
        <f>O21*HRT!E20</f>
        <v>21.822701066685646</v>
      </c>
      <c r="BI21" s="99">
        <f>P21*HRT!E20</f>
        <v>0</v>
      </c>
    </row>
    <row r="22" spans="1:66">
      <c r="A22" s="113">
        <f>Productivities!A22</f>
        <v>37.01875000000291</v>
      </c>
      <c r="B22" s="143">
        <f>Productivities!B22-Productivities!P22</f>
        <v>99.826886564742153</v>
      </c>
      <c r="C22" s="143">
        <f>Productivities!C22-Productivities!Q22</f>
        <v>87.342582073863852</v>
      </c>
      <c r="D22" s="143">
        <f>Productivities!D22-Productivities!R22</f>
        <v>0</v>
      </c>
      <c r="E22" s="143">
        <f>Productivities!E22</f>
        <v>0</v>
      </c>
      <c r="F22" s="143">
        <f>Productivities!F22</f>
        <v>3.8493882325932023</v>
      </c>
      <c r="G22" s="143">
        <f t="shared" si="14"/>
        <v>191.01885687119923</v>
      </c>
      <c r="H22" s="144">
        <f>Productivities!I22</f>
        <v>0</v>
      </c>
      <c r="I22" s="144">
        <f>Productivities!J22</f>
        <v>119.03273209715861</v>
      </c>
      <c r="J22" s="144">
        <f>Productivities!K22</f>
        <v>1.2710137138243536</v>
      </c>
      <c r="K22" s="144">
        <f>Productivities!L22</f>
        <v>0</v>
      </c>
      <c r="L22" s="144">
        <f>Productivities!M22</f>
        <v>99.018066753614278</v>
      </c>
      <c r="M22" s="144">
        <f>Productivities!N22</f>
        <v>0.69058415979419729</v>
      </c>
      <c r="N22" s="144">
        <f>Productivities!O22</f>
        <v>0</v>
      </c>
      <c r="O22" s="144">
        <f>Productivities!U22-Productivities!G22</f>
        <v>17.429536521195246</v>
      </c>
      <c r="P22" s="144">
        <f>Productivities!H22</f>
        <v>0</v>
      </c>
      <c r="Q22" s="144">
        <f t="shared" si="15"/>
        <v>237.44193324558668</v>
      </c>
      <c r="R22" s="144">
        <f t="shared" si="16"/>
        <v>220.01239672439144</v>
      </c>
      <c r="S22" s="119">
        <f t="shared" si="1"/>
        <v>-99.826886564742153</v>
      </c>
      <c r="T22" s="166">
        <f t="shared" si="2"/>
        <v>-87.342582073863852</v>
      </c>
      <c r="U22" s="119">
        <f t="shared" si="3"/>
        <v>0</v>
      </c>
      <c r="V22" s="166">
        <f t="shared" si="4"/>
        <v>-3.8493882325932023</v>
      </c>
      <c r="W22" s="119">
        <f t="shared" si="5"/>
        <v>119.03273209715861</v>
      </c>
      <c r="X22" s="119">
        <f t="shared" si="6"/>
        <v>1.2710137138243536</v>
      </c>
      <c r="Y22" s="119">
        <f t="shared" si="7"/>
        <v>0</v>
      </c>
      <c r="Z22" s="119">
        <f t="shared" si="8"/>
        <v>99.018066753614278</v>
      </c>
      <c r="AA22" s="119">
        <f t="shared" si="9"/>
        <v>0.69058415979419729</v>
      </c>
      <c r="AB22" s="119">
        <f t="shared" si="10"/>
        <v>0</v>
      </c>
      <c r="AC22" s="119">
        <f t="shared" si="11"/>
        <v>0</v>
      </c>
      <c r="AD22" s="119">
        <f t="shared" si="12"/>
        <v>0</v>
      </c>
      <c r="AE22" s="166">
        <f t="shared" si="13"/>
        <v>17.429536521195246</v>
      </c>
      <c r="AF22" s="166"/>
      <c r="AG22" s="166" t="s">
        <v>28</v>
      </c>
      <c r="AH22" s="190">
        <f>AVERAGE(AE10:AE17)</f>
        <v>4.3889601927471205</v>
      </c>
      <c r="AI22" s="190">
        <f>STDEVA(AE10:AE17)</f>
        <v>4.7925890396841755</v>
      </c>
      <c r="AJ22" s="190">
        <f>AVERAGE(AE21:AE29)</f>
        <v>1.8429857323017731</v>
      </c>
      <c r="AK22" s="190">
        <f>STDEVA(AE21:AE29)</f>
        <v>9.8909755984173824</v>
      </c>
      <c r="AL22" s="190">
        <f>AVERAGE(AE32:AE37)</f>
        <v>0.20342796254973905</v>
      </c>
      <c r="AM22" s="190">
        <f>STDEVA(AE32:AE37)</f>
        <v>5.2455763385399097</v>
      </c>
      <c r="AN22" s="190">
        <f>AVERAGE(AE41:AE46)</f>
        <v>14.080880238464383</v>
      </c>
      <c r="AO22" s="190">
        <f>STDEVA(AE41:AE46)</f>
        <v>2.4169020119310507</v>
      </c>
      <c r="AP22" s="190">
        <f>AVERAGE(AE47:AE54)</f>
        <v>12.306309645024914</v>
      </c>
      <c r="AQ22" s="190">
        <f>STDEVA(AE47:AE54)</f>
        <v>3.0466355392593041</v>
      </c>
      <c r="AR22" s="190">
        <f>AVERAGE(AE56:AE64)</f>
        <v>2.3951750536980194</v>
      </c>
      <c r="AS22" s="190">
        <f>STDEVA(AE56:AE64)</f>
        <v>3.1814960089091002</v>
      </c>
      <c r="AT22" s="166"/>
      <c r="AU22" s="146"/>
      <c r="AV22" s="145">
        <f>B22*HRT!E21</f>
        <v>271.75579298137006</v>
      </c>
      <c r="AW22" s="145">
        <f>C22*HRT!E21</f>
        <v>237.77013858014612</v>
      </c>
      <c r="AX22" s="145">
        <f>D22*HRT!E21</f>
        <v>0</v>
      </c>
      <c r="AY22" s="145">
        <f>E22*HRT!E21</f>
        <v>0</v>
      </c>
      <c r="AZ22" s="145">
        <f>F22*HRT!E21</f>
        <v>10.479076205217341</v>
      </c>
      <c r="BA22" s="99">
        <f>H22*HRT!E21</f>
        <v>0</v>
      </c>
      <c r="BB22" s="99">
        <f>I22*HRT!E21</f>
        <v>324.03930058284766</v>
      </c>
      <c r="BC22" s="99">
        <f>J22*HRT!E21</f>
        <v>3.4600431965442766</v>
      </c>
      <c r="BD22" s="99">
        <f>K22*HRT!E21</f>
        <v>0</v>
      </c>
      <c r="BE22" s="99">
        <f>L22*HRT!E21</f>
        <v>269.55396663261831</v>
      </c>
      <c r="BF22" s="99">
        <f>M22*HRT!E21</f>
        <v>1.8799569176539708</v>
      </c>
      <c r="BG22" s="99">
        <f>N22*HRT!E21</f>
        <v>0</v>
      </c>
      <c r="BH22" s="99">
        <f>O22*HRT!E21</f>
        <v>47.447913899861874</v>
      </c>
      <c r="BI22" s="99">
        <f>P22*HRT!E21</f>
        <v>0</v>
      </c>
    </row>
    <row r="23" spans="1:66">
      <c r="A23" s="113">
        <f>Productivities!A23</f>
        <v>40.011111111110949</v>
      </c>
      <c r="B23" s="143">
        <f>Productivities!B23-Productivities!P23</f>
        <v>99.138968574532626</v>
      </c>
      <c r="C23" s="143">
        <f>Productivities!C23-Productivities!Q23</f>
        <v>88.344446599725572</v>
      </c>
      <c r="D23" s="143">
        <f>Productivities!D23-Productivities!R23</f>
        <v>0</v>
      </c>
      <c r="E23" s="143">
        <f>Productivities!E23</f>
        <v>0</v>
      </c>
      <c r="F23" s="143">
        <f>Productivities!F23</f>
        <v>3.8228616773972299</v>
      </c>
      <c r="G23" s="143">
        <f t="shared" si="14"/>
        <v>191.30627685165544</v>
      </c>
      <c r="H23" s="144">
        <f>Productivities!I23</f>
        <v>0</v>
      </c>
      <c r="I23" s="144">
        <f>Productivities!J23</f>
        <v>119.99786554196278</v>
      </c>
      <c r="J23" s="144">
        <f>Productivities!K23</f>
        <v>1.3668234767285026</v>
      </c>
      <c r="K23" s="144">
        <f>Productivities!L23</f>
        <v>0</v>
      </c>
      <c r="L23" s="144">
        <f>Productivities!M23</f>
        <v>99.632490828655691</v>
      </c>
      <c r="M23" s="144">
        <f>Productivities!N23</f>
        <v>0.6189311347568931</v>
      </c>
      <c r="N23" s="144">
        <f>Productivities!O23</f>
        <v>0.49125576398922993</v>
      </c>
      <c r="O23" s="144">
        <f>Productivities!U23-Productivities!G23</f>
        <v>14.673273112882725</v>
      </c>
      <c r="P23" s="144">
        <f>Productivities!H23</f>
        <v>0</v>
      </c>
      <c r="Q23" s="144">
        <f t="shared" si="15"/>
        <v>236.78063985897583</v>
      </c>
      <c r="R23" s="144">
        <f t="shared" si="16"/>
        <v>222.10736674609311</v>
      </c>
      <c r="S23" s="119">
        <f t="shared" si="1"/>
        <v>-99.138968574532626</v>
      </c>
      <c r="T23" s="166">
        <f t="shared" si="2"/>
        <v>-88.344446599725572</v>
      </c>
      <c r="U23" s="119">
        <f t="shared" si="3"/>
        <v>0</v>
      </c>
      <c r="V23" s="166">
        <f t="shared" si="4"/>
        <v>-3.8228616773972299</v>
      </c>
      <c r="W23" s="119">
        <f t="shared" si="5"/>
        <v>119.99786554196278</v>
      </c>
      <c r="X23" s="119">
        <f t="shared" si="6"/>
        <v>1.3668234767285026</v>
      </c>
      <c r="Y23" s="119">
        <f t="shared" si="7"/>
        <v>0</v>
      </c>
      <c r="Z23" s="119">
        <f t="shared" si="8"/>
        <v>99.632490828655691</v>
      </c>
      <c r="AA23" s="119">
        <f t="shared" si="9"/>
        <v>0.6189311347568931</v>
      </c>
      <c r="AB23" s="119">
        <f t="shared" si="10"/>
        <v>0.49125576398922993</v>
      </c>
      <c r="AC23" s="119">
        <f t="shared" si="11"/>
        <v>0</v>
      </c>
      <c r="AD23" s="119">
        <f t="shared" si="12"/>
        <v>0</v>
      </c>
      <c r="AE23" s="166">
        <f t="shared" si="13"/>
        <v>14.673273112882725</v>
      </c>
      <c r="AF23" s="166"/>
      <c r="AG23" s="166" t="s">
        <v>316</v>
      </c>
      <c r="AH23" s="190">
        <f>AVERAGE(V10:V17)</f>
        <v>-3.3656537515784208</v>
      </c>
      <c r="AI23" s="190">
        <f>STDEVA(V10:V17)</f>
        <v>0.17781499015222846</v>
      </c>
      <c r="AJ23" s="190">
        <f>AVERAGE(V21:V29)</f>
        <v>-3.7022445897311425</v>
      </c>
      <c r="AK23" s="190">
        <f>STDEVA(V21:V29)</f>
        <v>0.12641047609219117</v>
      </c>
      <c r="AL23" s="190">
        <f>AVERAGE(V32:V37)</f>
        <v>-3.9156716650826784</v>
      </c>
      <c r="AM23" s="190">
        <f>STDEVA(V32:V37)</f>
        <v>0.28254829034031442</v>
      </c>
      <c r="AN23" s="190">
        <f>AVERAGE(V41:V46)</f>
        <v>-3.5093845625494642</v>
      </c>
      <c r="AO23" s="190">
        <f>STDEVA(V41:V46)</f>
        <v>0.22413021647107931</v>
      </c>
      <c r="AP23" s="190">
        <f>AVERAGE(V47:V54)</f>
        <v>-3.5151075542647261</v>
      </c>
      <c r="AQ23" s="190">
        <f>STDEVA(V47:V54)</f>
        <v>0.37493104607465849</v>
      </c>
      <c r="AR23" s="190">
        <f>AVERAGE(V56:V64)</f>
        <v>-3.6089255125136646</v>
      </c>
      <c r="AS23" s="190">
        <f>STDEVA(V56:V64)</f>
        <v>0.2247615948353901</v>
      </c>
      <c r="AT23" s="166"/>
      <c r="AU23" s="146"/>
      <c r="AV23" s="145">
        <f>B23*HRT!E22</f>
        <v>269.25004862399561</v>
      </c>
      <c r="AW23" s="145">
        <f>C23*HRT!E22</f>
        <v>239.93336711742396</v>
      </c>
      <c r="AX23" s="145">
        <f>D23*HRT!E22</f>
        <v>0</v>
      </c>
      <c r="AY23" s="145">
        <f>E23*HRT!E22</f>
        <v>0</v>
      </c>
      <c r="AZ23" s="145">
        <f>F23*HRT!E22</f>
        <v>10.382453109224977</v>
      </c>
      <c r="BA23" s="99">
        <f>H23*HRT!E22</f>
        <v>0</v>
      </c>
      <c r="BB23" s="99">
        <f>I23*HRT!E22</f>
        <v>325.90041631973355</v>
      </c>
      <c r="BC23" s="99">
        <f>J23*HRT!E22</f>
        <v>3.7121355291576674</v>
      </c>
      <c r="BD23" s="99">
        <f>K23*HRT!E22</f>
        <v>0</v>
      </c>
      <c r="BE23" s="99">
        <f>L23*HRT!E22</f>
        <v>270.59039836567928</v>
      </c>
      <c r="BF23" s="99">
        <f>M23*HRT!E22</f>
        <v>1.6809458533241945</v>
      </c>
      <c r="BG23" s="99">
        <f>N23*HRT!E22</f>
        <v>1.3341942148760331</v>
      </c>
      <c r="BH23" s="99">
        <f>O23*HRT!E22</f>
        <v>39.850923969888264</v>
      </c>
      <c r="BI23" s="99">
        <f>P23*HRT!E22</f>
        <v>0</v>
      </c>
    </row>
    <row r="24" spans="1:66">
      <c r="A24" s="113">
        <f>Productivities!A24</f>
        <v>42.029166666667152</v>
      </c>
      <c r="B24" s="143">
        <f>Productivities!B24-Productivities!P24</f>
        <v>91.970137457509637</v>
      </c>
      <c r="C24" s="143">
        <f>Productivities!C24-Productivities!Q24</f>
        <v>82.384538377195184</v>
      </c>
      <c r="D24" s="143">
        <f>Productivities!D24-Productivities!R24</f>
        <v>0</v>
      </c>
      <c r="E24" s="143">
        <f>Productivities!E24</f>
        <v>0</v>
      </c>
      <c r="F24" s="143">
        <f>Productivities!F24</f>
        <v>3.5464269903811294</v>
      </c>
      <c r="G24" s="143">
        <f t="shared" si="14"/>
        <v>177.90110282508596</v>
      </c>
      <c r="H24" s="144">
        <f>Productivities!I24</f>
        <v>0</v>
      </c>
      <c r="I24" s="144">
        <f>Productivities!J24</f>
        <v>114.58105418194968</v>
      </c>
      <c r="J24" s="144">
        <f>Productivities!K24</f>
        <v>1.2108796310133427</v>
      </c>
      <c r="K24" s="144">
        <f>Productivities!L24</f>
        <v>0</v>
      </c>
      <c r="L24" s="144">
        <f>Productivities!M24</f>
        <v>95.60072662925468</v>
      </c>
      <c r="M24" s="144">
        <f>Productivities!N24</f>
        <v>0.66873844365110047</v>
      </c>
      <c r="N24" s="144">
        <f>Productivities!O24</f>
        <v>0.48333672648838094</v>
      </c>
      <c r="O24" s="144">
        <f>Productivities!U24-Productivities!G24</f>
        <v>4.3328022450478016</v>
      </c>
      <c r="P24" s="144">
        <f>Productivities!H24</f>
        <v>0</v>
      </c>
      <c r="Q24" s="144">
        <f t="shared" si="15"/>
        <v>216.877537857405</v>
      </c>
      <c r="R24" s="144">
        <f t="shared" si="16"/>
        <v>212.54473561235719</v>
      </c>
      <c r="S24" s="119">
        <f t="shared" si="1"/>
        <v>-91.970137457509637</v>
      </c>
      <c r="T24" s="166">
        <f t="shared" si="2"/>
        <v>-82.384538377195184</v>
      </c>
      <c r="U24" s="119">
        <f t="shared" si="3"/>
        <v>0</v>
      </c>
      <c r="V24" s="166">
        <f t="shared" si="4"/>
        <v>-3.5464269903811294</v>
      </c>
      <c r="W24" s="119">
        <f t="shared" si="5"/>
        <v>114.58105418194968</v>
      </c>
      <c r="X24" s="119">
        <f t="shared" si="6"/>
        <v>1.2108796310133427</v>
      </c>
      <c r="Y24" s="119">
        <f t="shared" si="7"/>
        <v>0</v>
      </c>
      <c r="Z24" s="119">
        <f t="shared" si="8"/>
        <v>95.60072662925468</v>
      </c>
      <c r="AA24" s="119">
        <f t="shared" si="9"/>
        <v>0.66873844365110047</v>
      </c>
      <c r="AB24" s="119">
        <f t="shared" si="10"/>
        <v>0.48333672648838094</v>
      </c>
      <c r="AC24" s="119">
        <f t="shared" si="11"/>
        <v>0</v>
      </c>
      <c r="AD24" s="119">
        <f t="shared" si="12"/>
        <v>0</v>
      </c>
      <c r="AE24" s="166">
        <f t="shared" si="13"/>
        <v>4.3328022450478016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46"/>
      <c r="AV24" s="145">
        <f>B24*HRT!E23</f>
        <v>260.80191631918274</v>
      </c>
      <c r="AW24" s="145">
        <f>C24*HRT!E23</f>
        <v>233.61980396919972</v>
      </c>
      <c r="AX24" s="145">
        <f>D24*HRT!E23</f>
        <v>0</v>
      </c>
      <c r="AY24" s="145">
        <f>E24*HRT!E23</f>
        <v>0</v>
      </c>
      <c r="AZ24" s="145">
        <f>F24*HRT!E23</f>
        <v>10.056687754813703</v>
      </c>
      <c r="BA24" s="99">
        <f>H24*HRT!E23</f>
        <v>0</v>
      </c>
      <c r="BB24" s="99">
        <f>I24*HRT!E23</f>
        <v>324.92023313905082</v>
      </c>
      <c r="BC24" s="99">
        <f>J24*HRT!E23</f>
        <v>3.4337203023758085</v>
      </c>
      <c r="BD24" s="99">
        <f>K24*HRT!E23</f>
        <v>0</v>
      </c>
      <c r="BE24" s="99">
        <f>L24*HRT!E23</f>
        <v>271.09726478265799</v>
      </c>
      <c r="BF24" s="99">
        <f>M24*HRT!E23</f>
        <v>1.896357583472045</v>
      </c>
      <c r="BG24" s="99">
        <f>N24*HRT!E23</f>
        <v>1.3706095041322313</v>
      </c>
      <c r="BH24" s="99">
        <f>O24*HRT!E23</f>
        <v>12.286630854092039</v>
      </c>
      <c r="BI24" s="99">
        <f>P24*HRT!E23</f>
        <v>0</v>
      </c>
    </row>
    <row r="25" spans="1:66">
      <c r="A25" s="113">
        <f>Productivities!A25</f>
        <v>44.022222222221899</v>
      </c>
      <c r="B25" s="143">
        <f>Productivities!B25-Productivities!P25</f>
        <v>92.123408046391461</v>
      </c>
      <c r="C25" s="143">
        <f>Productivities!C25-Productivities!Q25</f>
        <v>83.185427466674042</v>
      </c>
      <c r="D25" s="143">
        <f>Productivities!D25-Productivities!R25</f>
        <v>0</v>
      </c>
      <c r="E25" s="143">
        <f>Productivities!E25</f>
        <v>0</v>
      </c>
      <c r="F25" s="143">
        <f>Productivities!F25</f>
        <v>3.5523372017635277</v>
      </c>
      <c r="G25" s="143">
        <f t="shared" si="14"/>
        <v>178.86117271482902</v>
      </c>
      <c r="H25" s="144">
        <f>Productivities!I25</f>
        <v>0</v>
      </c>
      <c r="I25" s="144">
        <f>Productivities!J25</f>
        <v>115.45942556666982</v>
      </c>
      <c r="J25" s="144">
        <f>Productivities!K25</f>
        <v>1.4588246556863915</v>
      </c>
      <c r="K25" s="144">
        <f>Productivities!L25</f>
        <v>0</v>
      </c>
      <c r="L25" s="144">
        <f>Productivities!M25</f>
        <v>94.797783038340285</v>
      </c>
      <c r="M25" s="144">
        <f>Productivities!N25</f>
        <v>0.63553064761568312</v>
      </c>
      <c r="N25" s="144">
        <f>Productivities!O25</f>
        <v>0.49171776546204338</v>
      </c>
      <c r="O25" s="144">
        <f>Productivities!U25-Productivities!G25</f>
        <v>9.5498541343488341E-3</v>
      </c>
      <c r="P25" s="144">
        <f>Productivities!H25</f>
        <v>0</v>
      </c>
      <c r="Q25" s="144">
        <f t="shared" si="15"/>
        <v>212.85283152790859</v>
      </c>
      <c r="R25" s="144">
        <f t="shared" si="16"/>
        <v>212.84328167377424</v>
      </c>
      <c r="S25" s="119">
        <f t="shared" si="1"/>
        <v>-92.123408046391461</v>
      </c>
      <c r="T25" s="166">
        <f t="shared" si="2"/>
        <v>-83.185427466674042</v>
      </c>
      <c r="U25" s="119">
        <f t="shared" si="3"/>
        <v>0</v>
      </c>
      <c r="V25" s="166">
        <f t="shared" si="4"/>
        <v>-3.5523372017635277</v>
      </c>
      <c r="W25" s="119">
        <f t="shared" si="5"/>
        <v>115.45942556666982</v>
      </c>
      <c r="X25" s="119">
        <f t="shared" si="6"/>
        <v>1.4588246556863915</v>
      </c>
      <c r="Y25" s="119">
        <f t="shared" si="7"/>
        <v>0</v>
      </c>
      <c r="Z25" s="119">
        <f t="shared" si="8"/>
        <v>94.797783038340285</v>
      </c>
      <c r="AA25" s="119">
        <f t="shared" si="9"/>
        <v>0.63553064761568312</v>
      </c>
      <c r="AB25" s="119">
        <f t="shared" si="10"/>
        <v>0.49171776546204338</v>
      </c>
      <c r="AC25" s="119">
        <f t="shared" si="11"/>
        <v>0</v>
      </c>
      <c r="AD25" s="119">
        <f t="shared" si="12"/>
        <v>0</v>
      </c>
      <c r="AE25" s="166">
        <f t="shared" si="13"/>
        <v>9.5498541343488341E-3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46"/>
      <c r="AV25" s="145">
        <f>B25*HRT!E24</f>
        <v>255.47750758227841</v>
      </c>
      <c r="AW25" s="145">
        <f>C25*HRT!E24</f>
        <v>230.69061519793334</v>
      </c>
      <c r="AX25" s="145">
        <f>D25*HRT!E24</f>
        <v>0</v>
      </c>
      <c r="AY25" s="145">
        <f>E25*HRT!E24</f>
        <v>0</v>
      </c>
      <c r="AZ25" s="145">
        <f>F25*HRT!E24</f>
        <v>9.851375167767694</v>
      </c>
      <c r="BA25" s="99">
        <f>H25*HRT!E24</f>
        <v>0</v>
      </c>
      <c r="BB25" s="99">
        <f>I25*HRT!E24</f>
        <v>320.19317235636976</v>
      </c>
      <c r="BC25" s="99">
        <f>J25*HRT!E24</f>
        <v>4.0456263498920091</v>
      </c>
      <c r="BD25" s="99">
        <f>K25*HRT!E24</f>
        <v>0</v>
      </c>
      <c r="BE25" s="99">
        <f>L25*HRT!E24</f>
        <v>262.89410963568264</v>
      </c>
      <c r="BF25" s="99">
        <f>M25*HRT!E24</f>
        <v>1.7624596103005972</v>
      </c>
      <c r="BG25" s="99">
        <f>N25*HRT!E24</f>
        <v>1.3636363636363638</v>
      </c>
      <c r="BH25" s="99">
        <f>O25*HRT!E24</f>
        <v>2.648374592035433E-2</v>
      </c>
      <c r="BI25" s="99">
        <f>P25*HRT!E24</f>
        <v>0</v>
      </c>
      <c r="BJ25">
        <f>AVERAGE(AV20,AV27)</f>
        <v>270.28846197181497</v>
      </c>
      <c r="BK25">
        <f t="shared" ref="BK25:BN25" si="19">AVERAGE(AW20,AW27)</f>
        <v>288.98534965124657</v>
      </c>
      <c r="BL25">
        <f t="shared" si="19"/>
        <v>0</v>
      </c>
      <c r="BM25">
        <f t="shared" si="19"/>
        <v>0</v>
      </c>
      <c r="BN25">
        <f t="shared" si="19"/>
        <v>10.33589190540259</v>
      </c>
    </row>
    <row r="26" spans="1:66">
      <c r="A26" s="113">
        <f>Productivities!A26</f>
        <v>46.997222222220444</v>
      </c>
      <c r="B26" s="143">
        <f>Productivities!B26-Productivities!P26</f>
        <v>102.20772028886292</v>
      </c>
      <c r="C26" s="143">
        <f>Productivities!C26-Productivities!Q26</f>
        <v>126.6070770265397</v>
      </c>
      <c r="D26" s="143">
        <f>Productivities!D26-Productivities!R26</f>
        <v>0</v>
      </c>
      <c r="E26" s="143">
        <f>Productivities!E26</f>
        <v>0</v>
      </c>
      <c r="F26" s="143">
        <f>Productivities!F26</f>
        <v>3.8277095111117529</v>
      </c>
      <c r="G26" s="143">
        <f t="shared" si="14"/>
        <v>232.64250682651436</v>
      </c>
      <c r="H26" s="144">
        <f>Productivities!I26</f>
        <v>0</v>
      </c>
      <c r="I26" s="144">
        <f>Productivities!J26</f>
        <v>123.17817956797629</v>
      </c>
      <c r="J26" s="144">
        <f>Productivities!K26</f>
        <v>1.7084333799757416</v>
      </c>
      <c r="K26" s="144">
        <f>Productivities!L26</f>
        <v>0</v>
      </c>
      <c r="L26" s="144">
        <f>Productivities!M26</f>
        <v>101.91563021062329</v>
      </c>
      <c r="M26" s="144">
        <f>Productivities!N26</f>
        <v>0.62981940130956626</v>
      </c>
      <c r="N26" s="144">
        <f>Productivities!O26</f>
        <v>0.28735070563210185</v>
      </c>
      <c r="O26" s="144">
        <f>Productivities!U26-Productivities!G26</f>
        <v>-9.3533396694800786</v>
      </c>
      <c r="P26" s="144">
        <f>Productivities!H26</f>
        <v>0</v>
      </c>
      <c r="Q26" s="144">
        <f t="shared" si="15"/>
        <v>218.3660735960369</v>
      </c>
      <c r="R26" s="144">
        <f t="shared" si="16"/>
        <v>227.71941326551698</v>
      </c>
      <c r="S26" s="119">
        <f t="shared" si="1"/>
        <v>-102.20772028886292</v>
      </c>
      <c r="T26" s="166">
        <f t="shared" si="2"/>
        <v>-126.6070770265397</v>
      </c>
      <c r="U26" s="119">
        <f t="shared" si="3"/>
        <v>0</v>
      </c>
      <c r="V26" s="166">
        <f t="shared" si="4"/>
        <v>-3.8277095111117529</v>
      </c>
      <c r="W26" s="119">
        <f t="shared" si="5"/>
        <v>123.17817956797629</v>
      </c>
      <c r="X26" s="119">
        <f t="shared" si="6"/>
        <v>1.7084333799757416</v>
      </c>
      <c r="Y26" s="119">
        <f t="shared" si="7"/>
        <v>0</v>
      </c>
      <c r="Z26" s="119">
        <f t="shared" si="8"/>
        <v>101.91563021062329</v>
      </c>
      <c r="AA26" s="119">
        <f t="shared" si="9"/>
        <v>0.62981940130956626</v>
      </c>
      <c r="AB26" s="119">
        <f t="shared" si="10"/>
        <v>0.28735070563210185</v>
      </c>
      <c r="AC26" s="119">
        <f t="shared" si="11"/>
        <v>0</v>
      </c>
      <c r="AD26" s="119">
        <f t="shared" si="12"/>
        <v>0</v>
      </c>
      <c r="AE26" s="166">
        <f t="shared" si="13"/>
        <v>-9.3533396694800786</v>
      </c>
      <c r="AF26" s="166"/>
      <c r="AG26" s="84" t="s">
        <v>331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46">
        <v>46.1</v>
      </c>
      <c r="AV26" s="145">
        <f>B26*HRT!E25</f>
        <v>264.56267480536138</v>
      </c>
      <c r="AW26" s="145">
        <f>C26*HRT!E25</f>
        <v>327.71993008711695</v>
      </c>
      <c r="AX26" s="145">
        <f>D26*HRT!E25</f>
        <v>0</v>
      </c>
      <c r="AY26" s="145">
        <f>E26*HRT!E25</f>
        <v>0</v>
      </c>
      <c r="AZ26" s="145">
        <f>F26*HRT!E25</f>
        <v>9.9079508257850577</v>
      </c>
      <c r="BA26" s="99">
        <f>H26*HRT!E25</f>
        <v>0</v>
      </c>
      <c r="BB26" s="99">
        <f>I26*HRT!E25</f>
        <v>318.84429641965033</v>
      </c>
      <c r="BC26" s="99">
        <f>J26*HRT!E25</f>
        <v>4.4222462203023767</v>
      </c>
      <c r="BD26" s="99">
        <f>K26*HRT!E25</f>
        <v>0</v>
      </c>
      <c r="BE26" s="99">
        <f>L26*HRT!E25</f>
        <v>263.80660537963911</v>
      </c>
      <c r="BF26" s="99">
        <f>M26*HRT!E25</f>
        <v>1.6302751395280528</v>
      </c>
      <c r="BG26" s="99">
        <f>N26*HRT!E25</f>
        <v>0.74380165289256206</v>
      </c>
      <c r="BH26" s="99">
        <f>O26*HRT!E25</f>
        <v>-24.210935869884416</v>
      </c>
      <c r="BI26" s="99">
        <f>P26*HRT!E25</f>
        <v>0</v>
      </c>
      <c r="BJ26">
        <f>STDEVA(AV20,AV27)</f>
        <v>1.0070924557447847</v>
      </c>
      <c r="BK26">
        <f t="shared" ref="BK26:BN26" si="20">STDEVA(AW20,AW27)</f>
        <v>62.483916448350321</v>
      </c>
      <c r="BL26">
        <f t="shared" si="20"/>
        <v>0</v>
      </c>
      <c r="BM26">
        <f t="shared" si="20"/>
        <v>0</v>
      </c>
      <c r="BN26">
        <f t="shared" si="20"/>
        <v>0.33966273750566967</v>
      </c>
    </row>
    <row r="27" spans="1:66">
      <c r="A27" s="113">
        <f>Productivities!A27</f>
        <v>48.994444444448163</v>
      </c>
      <c r="B27" s="143">
        <f>Productivities!B27-Productivities!P27</f>
        <v>101.23150085250397</v>
      </c>
      <c r="C27" s="143">
        <f>Productivities!C27-Productivities!Q27</f>
        <v>125.11154325302829</v>
      </c>
      <c r="D27" s="143">
        <f>Productivities!D27-Productivities!R27</f>
        <v>0</v>
      </c>
      <c r="E27" s="143">
        <f>Productivities!E27</f>
        <v>0</v>
      </c>
      <c r="F27" s="143">
        <f>Productivities!F27</f>
        <v>3.7911498029906592</v>
      </c>
      <c r="G27" s="143">
        <f t="shared" si="14"/>
        <v>230.13419390852292</v>
      </c>
      <c r="H27" s="144">
        <f>Productivities!I27</f>
        <v>0</v>
      </c>
      <c r="I27" s="144">
        <f>Productivities!J27</f>
        <v>123.15766331332169</v>
      </c>
      <c r="J27" s="144">
        <f>Productivities!K27</f>
        <v>1.5415713503678883</v>
      </c>
      <c r="K27" s="144">
        <f>Productivities!L27</f>
        <v>0</v>
      </c>
      <c r="L27" s="144">
        <f>Productivities!M27</f>
        <v>100.88725723264709</v>
      </c>
      <c r="M27" s="144">
        <f>Productivities!N27</f>
        <v>0.6440071850214093</v>
      </c>
      <c r="N27" s="144">
        <f>Productivities!O27</f>
        <v>0</v>
      </c>
      <c r="O27" s="144">
        <f>Productivities!U27-Productivities!G27</f>
        <v>-9.4477823973778214</v>
      </c>
      <c r="P27" s="144">
        <f>Productivities!H27</f>
        <v>0</v>
      </c>
      <c r="Q27" s="144">
        <f t="shared" si="15"/>
        <v>216.78271668398025</v>
      </c>
      <c r="R27" s="144">
        <f t="shared" si="16"/>
        <v>226.23049908135809</v>
      </c>
      <c r="S27" s="119">
        <f t="shared" si="1"/>
        <v>-101.23150085250397</v>
      </c>
      <c r="T27" s="166">
        <f t="shared" si="2"/>
        <v>-125.11154325302829</v>
      </c>
      <c r="U27" s="119">
        <f t="shared" si="3"/>
        <v>0</v>
      </c>
      <c r="V27" s="166">
        <f t="shared" si="4"/>
        <v>-3.7911498029906592</v>
      </c>
      <c r="W27" s="119">
        <f t="shared" si="5"/>
        <v>123.15766331332169</v>
      </c>
      <c r="X27" s="119">
        <f t="shared" si="6"/>
        <v>1.5415713503678883</v>
      </c>
      <c r="Y27" s="119">
        <f t="shared" si="7"/>
        <v>0</v>
      </c>
      <c r="Z27" s="119">
        <f t="shared" si="8"/>
        <v>100.88725723264709</v>
      </c>
      <c r="AA27" s="119">
        <f t="shared" si="9"/>
        <v>0.6440071850214093</v>
      </c>
      <c r="AB27" s="119">
        <f t="shared" si="10"/>
        <v>0</v>
      </c>
      <c r="AC27" s="119">
        <f t="shared" si="11"/>
        <v>0</v>
      </c>
      <c r="AD27" s="119">
        <f t="shared" si="12"/>
        <v>0</v>
      </c>
      <c r="AE27" s="166">
        <f t="shared" si="13"/>
        <v>-9.4477823973778214</v>
      </c>
      <c r="AF27" s="166"/>
      <c r="AG27" s="171" t="s">
        <v>317</v>
      </c>
      <c r="AH27" s="188" t="s">
        <v>318</v>
      </c>
      <c r="AI27" s="189" t="s">
        <v>312</v>
      </c>
      <c r="AJ27" s="188" t="s">
        <v>319</v>
      </c>
      <c r="AK27" s="188" t="s">
        <v>312</v>
      </c>
      <c r="AL27" s="188" t="s">
        <v>320</v>
      </c>
      <c r="AM27" s="188" t="s">
        <v>312</v>
      </c>
      <c r="AN27" s="188" t="s">
        <v>321</v>
      </c>
      <c r="AO27" s="188" t="s">
        <v>312</v>
      </c>
      <c r="AP27" s="188" t="s">
        <v>322</v>
      </c>
      <c r="AQ27" s="188" t="s">
        <v>312</v>
      </c>
      <c r="AR27" s="188" t="s">
        <v>323</v>
      </c>
      <c r="AS27" s="188" t="s">
        <v>312</v>
      </c>
      <c r="AT27" s="166"/>
      <c r="AU27" s="146"/>
      <c r="AV27" s="145">
        <f>B27*HRT!E26</f>
        <v>269.57634006707605</v>
      </c>
      <c r="AW27" s="145">
        <f>C27*HRT!E26</f>
        <v>333.16815068696877</v>
      </c>
      <c r="AX27" s="145">
        <f>D27*HRT!E26</f>
        <v>0</v>
      </c>
      <c r="AY27" s="145">
        <f>E27*HRT!E26</f>
        <v>0</v>
      </c>
      <c r="AZ27" s="145">
        <f>F27*HRT!E26</f>
        <v>10.095714080395945</v>
      </c>
      <c r="BA27" s="99">
        <f>H27*HRT!E26</f>
        <v>0</v>
      </c>
      <c r="BB27" s="99">
        <f>I27*HRT!E26</f>
        <v>327.96502914238135</v>
      </c>
      <c r="BC27" s="99">
        <f>J27*HRT!E26</f>
        <v>4.1051565874730027</v>
      </c>
      <c r="BD27" s="99">
        <f>K27*HRT!E26</f>
        <v>0</v>
      </c>
      <c r="BE27" s="99">
        <f>L27*HRT!E26</f>
        <v>268.65963000794466</v>
      </c>
      <c r="BF27" s="99">
        <f>M27*HRT!E26</f>
        <v>1.7149711152452758</v>
      </c>
      <c r="BG27" s="99">
        <f>N27*HRT!E26</f>
        <v>0</v>
      </c>
      <c r="BH27" s="99">
        <f>O27*HRT!E26</f>
        <v>-25.159150847186723</v>
      </c>
      <c r="BI27" s="99">
        <f>P27*HRT!E26</f>
        <v>0</v>
      </c>
    </row>
    <row r="28" spans="1:66">
      <c r="A28" s="113">
        <f>Productivities!A28</f>
        <v>50.971527777779556</v>
      </c>
      <c r="B28" s="143">
        <f>Productivities!B28-Productivities!P28</f>
        <v>97.716406783360654</v>
      </c>
      <c r="C28" s="143">
        <f>Productivities!C28-Productivities!Q28</f>
        <v>121.24525209785426</v>
      </c>
      <c r="D28" s="143">
        <f>Productivities!D28-Productivities!R28</f>
        <v>0</v>
      </c>
      <c r="E28" s="143">
        <f>Productivities!E28</f>
        <v>0</v>
      </c>
      <c r="F28" s="143">
        <f>Productivities!F28</f>
        <v>3.6595084850658872</v>
      </c>
      <c r="G28" s="143">
        <f t="shared" si="14"/>
        <v>222.62116736628082</v>
      </c>
      <c r="H28" s="144">
        <f>Productivities!I28</f>
        <v>0</v>
      </c>
      <c r="I28" s="144">
        <f>Productivities!J28</f>
        <v>113.22645178540959</v>
      </c>
      <c r="J28" s="144">
        <f>Productivities!K28</f>
        <v>1.7547753726464523</v>
      </c>
      <c r="K28" s="144">
        <f>Productivities!L28</f>
        <v>0</v>
      </c>
      <c r="L28" s="144">
        <f>Productivities!M28</f>
        <v>93.434297499862282</v>
      </c>
      <c r="M28" s="144">
        <f>Productivities!N28</f>
        <v>0.64940122136077671</v>
      </c>
      <c r="N28" s="144">
        <f>Productivities!O28</f>
        <v>0</v>
      </c>
      <c r="O28" s="144">
        <f>Productivities!U28-Productivities!G28</f>
        <v>-4.0830614774932315</v>
      </c>
      <c r="P28" s="144">
        <f>Productivities!H28</f>
        <v>0</v>
      </c>
      <c r="Q28" s="144">
        <f t="shared" si="15"/>
        <v>204.98186440178588</v>
      </c>
      <c r="R28" s="144">
        <f t="shared" si="16"/>
        <v>209.06492587927912</v>
      </c>
      <c r="S28" s="119">
        <f t="shared" si="1"/>
        <v>-97.716406783360654</v>
      </c>
      <c r="T28" s="166">
        <f t="shared" si="2"/>
        <v>-121.24525209785426</v>
      </c>
      <c r="U28" s="119">
        <f t="shared" si="3"/>
        <v>0</v>
      </c>
      <c r="V28" s="166">
        <f t="shared" si="4"/>
        <v>-3.6595084850658872</v>
      </c>
      <c r="W28" s="119">
        <f t="shared" si="5"/>
        <v>113.22645178540959</v>
      </c>
      <c r="X28" s="119">
        <f t="shared" si="6"/>
        <v>1.7547753726464523</v>
      </c>
      <c r="Y28" s="119">
        <f t="shared" si="7"/>
        <v>0</v>
      </c>
      <c r="Z28" s="119">
        <f t="shared" si="8"/>
        <v>93.434297499862282</v>
      </c>
      <c r="AA28" s="119">
        <f t="shared" si="9"/>
        <v>0.64940122136077671</v>
      </c>
      <c r="AB28" s="119">
        <f t="shared" si="10"/>
        <v>0</v>
      </c>
      <c r="AC28" s="119">
        <f t="shared" si="11"/>
        <v>0</v>
      </c>
      <c r="AD28" s="119">
        <f t="shared" si="12"/>
        <v>0</v>
      </c>
      <c r="AE28" s="166">
        <f t="shared" si="13"/>
        <v>-4.0830614774932315</v>
      </c>
      <c r="AF28" s="166"/>
      <c r="AG28" s="119" t="s">
        <v>325</v>
      </c>
      <c r="AH28" s="245" t="s">
        <v>326</v>
      </c>
      <c r="AI28" s="245"/>
      <c r="AJ28" s="245" t="s">
        <v>327</v>
      </c>
      <c r="AK28" s="245"/>
      <c r="AL28" s="245" t="s">
        <v>335</v>
      </c>
      <c r="AM28" s="245"/>
      <c r="AN28" s="245" t="s">
        <v>328</v>
      </c>
      <c r="AO28" s="245"/>
      <c r="AP28" s="245" t="s">
        <v>329</v>
      </c>
      <c r="AQ28" s="245"/>
      <c r="AR28" s="245" t="s">
        <v>330</v>
      </c>
      <c r="AS28" s="245"/>
      <c r="AT28" s="166"/>
      <c r="AU28" s="146"/>
      <c r="AV28" s="145">
        <f>B28*HRT!E27</f>
        <v>282.88002679719585</v>
      </c>
      <c r="AW28" s="145">
        <f>C28*HRT!E27</f>
        <v>350.99387392040381</v>
      </c>
      <c r="AX28" s="145">
        <f>D28*HRT!E27</f>
        <v>0</v>
      </c>
      <c r="AY28" s="145">
        <f>E28*HRT!E27</f>
        <v>0</v>
      </c>
      <c r="AZ28" s="145">
        <f>F28*HRT!E27</f>
        <v>10.593941103617004</v>
      </c>
      <c r="BA28" s="99">
        <f>H28*HRT!E27</f>
        <v>0</v>
      </c>
      <c r="BB28" s="99">
        <f>I28*HRT!E27</f>
        <v>327.7801831806828</v>
      </c>
      <c r="BC28" s="99">
        <f>J28*HRT!E27</f>
        <v>5.0799136069114468</v>
      </c>
      <c r="BD28" s="99">
        <f>K28*HRT!E27</f>
        <v>0</v>
      </c>
      <c r="BE28" s="99">
        <f>L28*HRT!E27</f>
        <v>270.48371353989336</v>
      </c>
      <c r="BF28" s="99">
        <f>M28*HRT!E27</f>
        <v>1.8799569176539708</v>
      </c>
      <c r="BG28" s="99">
        <f>N28*HRT!E27</f>
        <v>0</v>
      </c>
      <c r="BH28" s="99">
        <f>O28*HRT!E27</f>
        <v>-11.820088132472776</v>
      </c>
      <c r="BI28" s="99">
        <f>P28*HRT!E27</f>
        <v>0</v>
      </c>
    </row>
    <row r="29" spans="1:66" s="172" customFormat="1">
      <c r="A29" s="182">
        <f>Productivities!A29</f>
        <v>53.979166666664241</v>
      </c>
      <c r="B29" s="177">
        <f>Productivities!B29-Productivities!P29</f>
        <v>95.14001321831762</v>
      </c>
      <c r="C29" s="177">
        <f>Productivities!C29-Productivities!Q29</f>
        <v>117.88614515947339</v>
      </c>
      <c r="D29" s="177">
        <f>Productivities!D29-Productivities!R29</f>
        <v>0</v>
      </c>
      <c r="E29" s="177">
        <f>Productivities!E29</f>
        <v>0</v>
      </c>
      <c r="F29" s="177">
        <f>Productivities!F29</f>
        <v>3.5630217800947661</v>
      </c>
      <c r="G29" s="177">
        <f t="shared" si="14"/>
        <v>216.58918015788578</v>
      </c>
      <c r="H29" s="178">
        <f>Productivities!I29</f>
        <v>0</v>
      </c>
      <c r="I29" s="178">
        <f>Productivities!J29</f>
        <v>115.13757030485449</v>
      </c>
      <c r="J29" s="178">
        <f>Productivities!K29</f>
        <v>1.5326597972448772</v>
      </c>
      <c r="K29" s="178">
        <f>Productivities!L29</f>
        <v>0</v>
      </c>
      <c r="L29" s="178">
        <f>Productivities!M29</f>
        <v>95.686051362455828</v>
      </c>
      <c r="M29" s="178">
        <f>Productivities!N29</f>
        <v>0.60350234793697355</v>
      </c>
      <c r="N29" s="178">
        <f>Productivities!O29</f>
        <v>0</v>
      </c>
      <c r="O29" s="178">
        <f>Productivities!U29-Productivities!G29</f>
        <v>-4.7063232980744516</v>
      </c>
      <c r="P29" s="178">
        <f>Productivities!H29</f>
        <v>0</v>
      </c>
      <c r="Q29" s="178">
        <f t="shared" si="15"/>
        <v>208.25346051441772</v>
      </c>
      <c r="R29" s="178">
        <f t="shared" si="16"/>
        <v>212.95978381249216</v>
      </c>
      <c r="S29" s="170">
        <f t="shared" si="1"/>
        <v>-95.14001321831762</v>
      </c>
      <c r="T29" s="171">
        <f t="shared" si="2"/>
        <v>-117.88614515947339</v>
      </c>
      <c r="U29" s="170">
        <f t="shared" si="3"/>
        <v>0</v>
      </c>
      <c r="V29" s="171">
        <f t="shared" si="4"/>
        <v>-3.5630217800947661</v>
      </c>
      <c r="W29" s="170">
        <f t="shared" si="5"/>
        <v>115.13757030485449</v>
      </c>
      <c r="X29" s="170">
        <f t="shared" si="6"/>
        <v>1.5326597972448772</v>
      </c>
      <c r="Y29" s="170">
        <f t="shared" si="7"/>
        <v>0</v>
      </c>
      <c r="Z29" s="170">
        <f t="shared" si="8"/>
        <v>95.686051362455828</v>
      </c>
      <c r="AA29" s="170">
        <f t="shared" si="9"/>
        <v>0.60350234793697355</v>
      </c>
      <c r="AB29" s="170">
        <f t="shared" si="10"/>
        <v>0</v>
      </c>
      <c r="AC29" s="170">
        <f t="shared" si="11"/>
        <v>0</v>
      </c>
      <c r="AD29" s="170">
        <f t="shared" si="12"/>
        <v>0</v>
      </c>
      <c r="AE29" s="171">
        <f t="shared" si="13"/>
        <v>-4.7063232980744516</v>
      </c>
      <c r="AF29" s="171"/>
      <c r="AG29" s="171" t="s">
        <v>180</v>
      </c>
      <c r="AH29" s="193">
        <f>AH11/1.5</f>
        <v>37.862371275539886</v>
      </c>
      <c r="AI29" s="193">
        <f t="shared" ref="AI29:AS29" si="21">AI11/1.5</f>
        <v>1.7145998678253862</v>
      </c>
      <c r="AJ29" s="193">
        <f t="shared" si="21"/>
        <v>78.483877716080883</v>
      </c>
      <c r="AK29" s="193">
        <f t="shared" si="21"/>
        <v>2.4936778126088064</v>
      </c>
      <c r="AL29" s="193">
        <f t="shared" si="21"/>
        <v>65.465693947361316</v>
      </c>
      <c r="AM29" s="193">
        <f t="shared" si="21"/>
        <v>4.9224679228600445</v>
      </c>
      <c r="AN29" s="193">
        <f t="shared" si="21"/>
        <v>47.325392047385982</v>
      </c>
      <c r="AO29" s="193">
        <f t="shared" si="21"/>
        <v>4.1076886138831208</v>
      </c>
      <c r="AP29" s="193">
        <f t="shared" si="21"/>
        <v>46.472981480909766</v>
      </c>
      <c r="AQ29" s="193">
        <f t="shared" si="21"/>
        <v>4.9151385623250228</v>
      </c>
      <c r="AR29" s="193">
        <f t="shared" si="21"/>
        <v>42.037900940709875</v>
      </c>
      <c r="AS29" s="193">
        <f t="shared" si="21"/>
        <v>5.8454958588279338</v>
      </c>
      <c r="AT29" s="171"/>
      <c r="AU29" s="175"/>
      <c r="AV29" s="173">
        <f>B29*HRT!E28</f>
        <v>281.55013858113136</v>
      </c>
      <c r="AW29" s="173">
        <f>C29*HRT!E28</f>
        <v>348.86331611371645</v>
      </c>
      <c r="AX29" s="173">
        <f>D29*HRT!E28</f>
        <v>0</v>
      </c>
      <c r="AY29" s="173">
        <f>E29*HRT!E28</f>
        <v>0</v>
      </c>
      <c r="AZ29" s="173">
        <f>F29*HRT!E28</f>
        <v>10.544136394550419</v>
      </c>
      <c r="BA29" s="174">
        <f>H29*HRT!E28</f>
        <v>0</v>
      </c>
      <c r="BB29" s="174">
        <f>I29*HRT!E28</f>
        <v>340.72939217318907</v>
      </c>
      <c r="BC29" s="174">
        <f>J29*HRT!E28</f>
        <v>4.5356371490280791</v>
      </c>
      <c r="BD29" s="174">
        <f>K29*HRT!E28</f>
        <v>0</v>
      </c>
      <c r="BE29" s="174">
        <f>L29*HRT!E28</f>
        <v>283.16604244694139</v>
      </c>
      <c r="BF29" s="174">
        <f>M29*HRT!E28</f>
        <v>1.7859590717712717</v>
      </c>
      <c r="BG29" s="174">
        <f>N29*HRT!E28</f>
        <v>0</v>
      </c>
      <c r="BH29" s="174">
        <f>O29*HRT!E28</f>
        <v>-13.92753618543065</v>
      </c>
      <c r="BI29" s="174">
        <f>P29*HRT!E28</f>
        <v>0</v>
      </c>
    </row>
    <row r="30" spans="1:66">
      <c r="A30" s="143">
        <f>Productivities!A30</f>
        <v>56.019444444442343</v>
      </c>
      <c r="B30" s="143">
        <f>Productivities!B30-Productivities!P30</f>
        <v>83.707755153216794</v>
      </c>
      <c r="C30" s="143">
        <f>Productivities!C30-Productivities!Q30</f>
        <v>106.31738122668241</v>
      </c>
      <c r="D30" s="143">
        <f>Productivities!D30-Productivities!R30</f>
        <v>59.747376238639852</v>
      </c>
      <c r="E30" s="143">
        <f>Productivities!E30</f>
        <v>0</v>
      </c>
      <c r="F30" s="143">
        <f>Productivities!F30</f>
        <v>3.3701601227232993</v>
      </c>
      <c r="G30" s="143">
        <f t="shared" si="14"/>
        <v>253.14267274126234</v>
      </c>
      <c r="H30" s="144">
        <f>Productivities!I30</f>
        <v>0</v>
      </c>
      <c r="I30" s="144">
        <f>Productivities!J30</f>
        <v>95.768745943903241</v>
      </c>
      <c r="J30" s="144">
        <f>Productivities!K30</f>
        <v>1.4373158932075671</v>
      </c>
      <c r="K30" s="144">
        <f>Productivities!L30</f>
        <v>0.44107230166388955</v>
      </c>
      <c r="L30" s="144">
        <f>Productivities!M30</f>
        <v>124.76045104207161</v>
      </c>
      <c r="M30" s="144">
        <f>Productivities!N30</f>
        <v>0.63582395804170855</v>
      </c>
      <c r="N30" s="144">
        <f>Productivities!O30</f>
        <v>0.41479029458857297</v>
      </c>
      <c r="O30" s="144">
        <f>Productivities!U30-Productivities!G30</f>
        <v>3.696695778645406</v>
      </c>
      <c r="P30" s="144">
        <f>Productivities!H30</f>
        <v>0</v>
      </c>
      <c r="Q30" s="144">
        <f t="shared" si="15"/>
        <v>227.15489521212197</v>
      </c>
      <c r="R30" s="144">
        <f t="shared" si="16"/>
        <v>223.45819943347658</v>
      </c>
      <c r="S30" s="119">
        <f t="shared" si="1"/>
        <v>-83.707755153216794</v>
      </c>
      <c r="T30" s="166">
        <f t="shared" si="2"/>
        <v>-106.31738122668241</v>
      </c>
      <c r="U30" s="119">
        <f t="shared" si="3"/>
        <v>-59.747376238639852</v>
      </c>
      <c r="V30" s="166">
        <f t="shared" si="4"/>
        <v>-3.3701601227232993</v>
      </c>
      <c r="W30" s="119">
        <f t="shared" si="5"/>
        <v>95.768745943903241</v>
      </c>
      <c r="X30" s="119">
        <f t="shared" si="6"/>
        <v>1.4373158932075671</v>
      </c>
      <c r="Y30" s="119">
        <f t="shared" si="7"/>
        <v>0.44107230166388955</v>
      </c>
      <c r="Z30" s="119">
        <f t="shared" si="8"/>
        <v>124.76045104207161</v>
      </c>
      <c r="AA30" s="119">
        <f t="shared" si="9"/>
        <v>0.63582395804170855</v>
      </c>
      <c r="AB30" s="119">
        <f t="shared" si="10"/>
        <v>0.41479029458857297</v>
      </c>
      <c r="AC30" s="119">
        <f t="shared" si="11"/>
        <v>0</v>
      </c>
      <c r="AD30" s="119">
        <f t="shared" si="12"/>
        <v>0</v>
      </c>
      <c r="AE30" s="166">
        <f t="shared" si="13"/>
        <v>3.696695778645406</v>
      </c>
      <c r="AF30" s="166"/>
      <c r="AG30" s="166" t="s">
        <v>181</v>
      </c>
      <c r="AH30" s="193">
        <f t="shared" ref="AH30:AS30" si="22">AH12/1.5</f>
        <v>0.15587823024757516</v>
      </c>
      <c r="AI30" s="193">
        <f t="shared" si="22"/>
        <v>1.4452318322083943E-2</v>
      </c>
      <c r="AJ30" s="193">
        <f t="shared" si="22"/>
        <v>0.92366233025272881</v>
      </c>
      <c r="AK30" s="193">
        <f t="shared" si="22"/>
        <v>0.22548355443393275</v>
      </c>
      <c r="AL30" s="193">
        <f t="shared" si="22"/>
        <v>1.3497246996690277</v>
      </c>
      <c r="AM30" s="193">
        <f t="shared" si="22"/>
        <v>0.23148804938237807</v>
      </c>
      <c r="AN30" s="193">
        <f t="shared" si="22"/>
        <v>1.2198985723777871</v>
      </c>
      <c r="AO30" s="193">
        <f t="shared" si="22"/>
        <v>0.39775432304405517</v>
      </c>
      <c r="AP30" s="193">
        <f t="shared" si="22"/>
        <v>1.3159865094875658</v>
      </c>
      <c r="AQ30" s="193">
        <f t="shared" si="22"/>
        <v>0.30407146055701351</v>
      </c>
      <c r="AR30" s="193">
        <f t="shared" si="22"/>
        <v>1.2684478895690847</v>
      </c>
      <c r="AS30" s="193">
        <f t="shared" si="22"/>
        <v>0.22106051995730228</v>
      </c>
      <c r="AT30" s="166"/>
      <c r="AU30">
        <v>54.23</v>
      </c>
      <c r="AV30" s="145">
        <f>B30*HRT!E30</f>
        <v>257.52335075163154</v>
      </c>
      <c r="AW30" s="145">
        <f>C30*HRT!E30</f>
        <v>327.08090435013548</v>
      </c>
      <c r="AX30" s="145">
        <f>D30*HRT!E30</f>
        <v>183.81026345086102</v>
      </c>
      <c r="AY30" s="145">
        <f>E30*HRT!E30</f>
        <v>0</v>
      </c>
      <c r="AZ30" s="145">
        <f>F30*HRT!E30</f>
        <v>10.368154369743381</v>
      </c>
      <c r="BA30" s="99">
        <f>H30*HRT!E30</f>
        <v>0</v>
      </c>
      <c r="BB30" s="99">
        <f>I30*HRT!E30</f>
        <v>294.62847626977515</v>
      </c>
      <c r="BC30" s="99">
        <f>J30*HRT!E30</f>
        <v>4.4218412526997835</v>
      </c>
      <c r="BD30" s="99">
        <f>K30*HRT!E30</f>
        <v>1.3569401884008625</v>
      </c>
      <c r="BE30" s="99">
        <f>L30*HRT!E30</f>
        <v>383.82022471910108</v>
      </c>
      <c r="BF30" s="99">
        <f>M30*HRT!E30</f>
        <v>1.956085381376677</v>
      </c>
      <c r="BG30" s="99">
        <f>N30*HRT!E30</f>
        <v>1.276084710743802</v>
      </c>
      <c r="BH30" s="99">
        <f>O30*HRT!E30</f>
        <v>11.372727435871189</v>
      </c>
      <c r="BI30" s="99">
        <f>P30*HRT!E30</f>
        <v>0</v>
      </c>
    </row>
    <row r="31" spans="1:66">
      <c r="A31" s="143">
        <f>Productivities!A31</f>
        <v>57.995833333334303</v>
      </c>
      <c r="B31" s="143">
        <f>Productivities!B31-Productivities!P31</f>
        <v>83.827347221671687</v>
      </c>
      <c r="C31" s="143">
        <f>Productivities!C31-Productivities!Q31</f>
        <v>106.51275015333704</v>
      </c>
      <c r="D31" s="143">
        <f>Productivities!D31-Productivities!R31</f>
        <v>59.879826474133324</v>
      </c>
      <c r="E31" s="143">
        <f>Productivities!E31</f>
        <v>0</v>
      </c>
      <c r="F31" s="143">
        <f>Productivities!F31</f>
        <v>3.3776312207029418</v>
      </c>
      <c r="G31" s="143">
        <f t="shared" si="14"/>
        <v>253.59755506984499</v>
      </c>
      <c r="H31" s="144">
        <f>Productivities!I31</f>
        <v>0</v>
      </c>
      <c r="I31" s="144">
        <f>Productivities!J31</f>
        <v>89.974484726957144</v>
      </c>
      <c r="J31" s="144">
        <f>Productivities!K31</f>
        <v>1.4285617568310076</v>
      </c>
      <c r="K31" s="144">
        <f>Productivities!L31</f>
        <v>0.53081787379466672</v>
      </c>
      <c r="L31" s="144">
        <f>Productivities!M31</f>
        <v>141.74636612940637</v>
      </c>
      <c r="M31" s="144">
        <f>Productivities!N31</f>
        <v>0.55788316163446683</v>
      </c>
      <c r="N31" s="144">
        <f>Productivities!O31</f>
        <v>1.2232670808621107</v>
      </c>
      <c r="O31" s="144">
        <f>Productivities!U31-Productivities!G31</f>
        <v>8.1524146832033466</v>
      </c>
      <c r="P31" s="144">
        <f>Productivities!H31</f>
        <v>0.25381155498419777</v>
      </c>
      <c r="Q31" s="144">
        <f t="shared" si="15"/>
        <v>243.86760696767328</v>
      </c>
      <c r="R31" s="144">
        <f t="shared" si="16"/>
        <v>235.46138072948574</v>
      </c>
      <c r="S31" s="119">
        <f t="shared" si="1"/>
        <v>-83.827347221671687</v>
      </c>
      <c r="T31" s="166">
        <f t="shared" si="2"/>
        <v>-106.51275015333704</v>
      </c>
      <c r="U31" s="119">
        <f t="shared" si="3"/>
        <v>-59.879826474133324</v>
      </c>
      <c r="V31" s="166">
        <f t="shared" si="4"/>
        <v>-3.3776312207029418</v>
      </c>
      <c r="W31" s="119">
        <f t="shared" si="5"/>
        <v>89.974484726957144</v>
      </c>
      <c r="X31" s="119">
        <f t="shared" si="6"/>
        <v>1.4285617568310076</v>
      </c>
      <c r="Y31" s="119">
        <f t="shared" si="7"/>
        <v>0.53081787379466672</v>
      </c>
      <c r="Z31" s="119">
        <f t="shared" si="8"/>
        <v>141.74636612940637</v>
      </c>
      <c r="AA31" s="119">
        <f t="shared" si="9"/>
        <v>0.55788316163446683</v>
      </c>
      <c r="AB31" s="119">
        <f t="shared" si="10"/>
        <v>1.2232670808621107</v>
      </c>
      <c r="AC31" s="119">
        <f t="shared" si="11"/>
        <v>0.25381155498419777</v>
      </c>
      <c r="AD31" s="119">
        <f t="shared" si="12"/>
        <v>0</v>
      </c>
      <c r="AE31" s="166">
        <f t="shared" si="13"/>
        <v>8.1524146832033466</v>
      </c>
      <c r="AF31" s="166"/>
      <c r="AG31" s="166" t="s">
        <v>182</v>
      </c>
      <c r="AH31" s="193">
        <f t="shared" ref="AH31:AS31" si="23">AH13/1.5</f>
        <v>1.846142469400534E-2</v>
      </c>
      <c r="AI31" s="193">
        <f t="shared" si="23"/>
        <v>5.2216794365983837E-2</v>
      </c>
      <c r="AJ31" s="193">
        <f t="shared" si="23"/>
        <v>0</v>
      </c>
      <c r="AK31" s="193">
        <f t="shared" si="23"/>
        <v>0</v>
      </c>
      <c r="AL31" s="193">
        <f t="shared" si="23"/>
        <v>0.38631517101511964</v>
      </c>
      <c r="AM31" s="193">
        <f t="shared" si="23"/>
        <v>5.0011572158435547E-2</v>
      </c>
      <c r="AN31" s="193">
        <f t="shared" si="23"/>
        <v>0.42778692023124321</v>
      </c>
      <c r="AO31" s="193">
        <f t="shared" si="23"/>
        <v>6.4567337918566642E-2</v>
      </c>
      <c r="AP31" s="193">
        <f t="shared" si="23"/>
        <v>0.70755451392590307</v>
      </c>
      <c r="AQ31" s="193">
        <f t="shared" si="23"/>
        <v>0.13965536091535394</v>
      </c>
      <c r="AR31" s="193">
        <f t="shared" si="23"/>
        <v>0.37895368109552591</v>
      </c>
      <c r="AS31" s="193">
        <f t="shared" si="23"/>
        <v>6.1222807214473436E-2</v>
      </c>
      <c r="AT31" s="166"/>
      <c r="AV31" s="145">
        <f>B31*HRT!E31</f>
        <v>232.64283199879787</v>
      </c>
      <c r="AW31" s="145">
        <f>C31*HRT!E31</f>
        <v>295.6007634850522</v>
      </c>
      <c r="AX31" s="145">
        <f>D31*HRT!E31</f>
        <v>166.18219318930707</v>
      </c>
      <c r="AY31" s="145">
        <f>E31*HRT!E31</f>
        <v>0</v>
      </c>
      <c r="AZ31" s="145">
        <f>F31*HRT!E31</f>
        <v>9.3738107989267583</v>
      </c>
      <c r="BA31" s="99">
        <f>H31*HRT!E31</f>
        <v>0</v>
      </c>
      <c r="BB31" s="99">
        <f>I31*HRT!E31</f>
        <v>249.70274771024145</v>
      </c>
      <c r="BC31" s="99">
        <f>J31*HRT!E31</f>
        <v>3.9646328293736506</v>
      </c>
      <c r="BD31" s="99">
        <f>K31*HRT!E31</f>
        <v>1.4731585518102368</v>
      </c>
      <c r="BE31" s="99">
        <f>L31*HRT!E31</f>
        <v>393.38327091136074</v>
      </c>
      <c r="BF31" s="99">
        <f>M31*HRT!E31</f>
        <v>1.5482718104376778</v>
      </c>
      <c r="BG31" s="99">
        <f>N31*HRT!E31</f>
        <v>3.3948863636363646</v>
      </c>
      <c r="BH31" s="99">
        <f>O31*HRT!E31</f>
        <v>22.625084800950081</v>
      </c>
      <c r="BI31" s="99">
        <f>P31*HRT!E31</f>
        <v>0.70439350525310407</v>
      </c>
    </row>
    <row r="32" spans="1:66">
      <c r="A32" s="183">
        <f>Productivities!A32</f>
        <v>61.00138888888614</v>
      </c>
      <c r="B32" s="143">
        <f>Productivities!B32-Productivities!P32</f>
        <v>108.41457496638056</v>
      </c>
      <c r="C32" s="143">
        <f>Productivities!C32-Productivities!Q32</f>
        <v>138.79412052392735</v>
      </c>
      <c r="D32" s="143">
        <f>Productivities!D32-Productivities!R32</f>
        <v>77.23000633662781</v>
      </c>
      <c r="E32" s="143">
        <f>Productivities!E32</f>
        <v>0</v>
      </c>
      <c r="F32" s="143">
        <f>Productivities!F32</f>
        <v>4.1692652992207684</v>
      </c>
      <c r="G32" s="143">
        <f t="shared" si="14"/>
        <v>328.6079671261565</v>
      </c>
      <c r="H32" s="144">
        <f>Productivities!I32</f>
        <v>0</v>
      </c>
      <c r="I32" s="144">
        <f>Productivities!J32</f>
        <v>101.41811989369401</v>
      </c>
      <c r="J32" s="144">
        <f>Productivities!K32</f>
        <v>1.9089906295286392</v>
      </c>
      <c r="K32" s="144">
        <f>Productivities!L32</f>
        <v>0.66146144845202093</v>
      </c>
      <c r="L32" s="144">
        <f>Productivities!M32</f>
        <v>192.01280903635808</v>
      </c>
      <c r="M32" s="144">
        <f>Productivities!N32</f>
        <v>0.73730057047927777</v>
      </c>
      <c r="N32" s="144">
        <f>Productivities!O32</f>
        <v>3.1432130710991713</v>
      </c>
      <c r="O32" s="144">
        <f>Productivities!U32-Productivities!G32</f>
        <v>4.4287424758445866</v>
      </c>
      <c r="P32" s="144">
        <f>Productivities!H32</f>
        <v>0.59534875016581701</v>
      </c>
      <c r="Q32" s="144">
        <f t="shared" si="15"/>
        <v>304.9059858756217</v>
      </c>
      <c r="R32" s="144">
        <f t="shared" si="16"/>
        <v>299.88189464961124</v>
      </c>
      <c r="S32" s="119">
        <f t="shared" si="1"/>
        <v>-108.41457496638056</v>
      </c>
      <c r="T32" s="166">
        <f t="shared" si="2"/>
        <v>-138.79412052392735</v>
      </c>
      <c r="U32" s="119">
        <f t="shared" si="3"/>
        <v>-77.23000633662781</v>
      </c>
      <c r="V32" s="166">
        <f t="shared" si="4"/>
        <v>-4.1692652992207684</v>
      </c>
      <c r="W32" s="119">
        <f t="shared" si="5"/>
        <v>101.41811989369401</v>
      </c>
      <c r="X32" s="119">
        <f t="shared" si="6"/>
        <v>1.9089906295286392</v>
      </c>
      <c r="Y32" s="119">
        <f t="shared" si="7"/>
        <v>0.66146144845202093</v>
      </c>
      <c r="Z32" s="119">
        <f t="shared" si="8"/>
        <v>192.01280903635808</v>
      </c>
      <c r="AA32" s="119">
        <f t="shared" si="9"/>
        <v>0.73730057047927777</v>
      </c>
      <c r="AB32" s="119">
        <f t="shared" si="10"/>
        <v>3.1432130710991713</v>
      </c>
      <c r="AC32" s="119">
        <f t="shared" si="11"/>
        <v>0.59534875016581701</v>
      </c>
      <c r="AD32" s="119">
        <f t="shared" si="12"/>
        <v>0</v>
      </c>
      <c r="AE32" s="166">
        <f t="shared" si="13"/>
        <v>4.4287424758445866</v>
      </c>
      <c r="AF32" s="166"/>
      <c r="AG32" s="166" t="s">
        <v>183</v>
      </c>
      <c r="AH32" s="193">
        <f t="shared" ref="AH32:AS32" si="24">AH14/1.5</f>
        <v>31.541022057458306</v>
      </c>
      <c r="AI32" s="193">
        <f t="shared" si="24"/>
        <v>1.8321246123572485</v>
      </c>
      <c r="AJ32" s="193">
        <f t="shared" si="24"/>
        <v>65.14410973399778</v>
      </c>
      <c r="AK32" s="193">
        <f t="shared" si="24"/>
        <v>1.9590167426806484</v>
      </c>
      <c r="AL32" s="193">
        <f t="shared" si="24"/>
        <v>122.766989977271</v>
      </c>
      <c r="AM32" s="193">
        <f t="shared" si="24"/>
        <v>9.5645346757780114</v>
      </c>
      <c r="AN32" s="193">
        <f t="shared" si="24"/>
        <v>120.50807855450661</v>
      </c>
      <c r="AO32" s="193">
        <f t="shared" si="24"/>
        <v>9.8018308622684494</v>
      </c>
      <c r="AP32" s="193">
        <f t="shared" si="24"/>
        <v>119.96731973077864</v>
      </c>
      <c r="AQ32" s="193">
        <f t="shared" si="24"/>
        <v>15.883797922540163</v>
      </c>
      <c r="AR32" s="193">
        <f t="shared" si="24"/>
        <v>145.14394964061373</v>
      </c>
      <c r="AS32" s="193">
        <f t="shared" si="24"/>
        <v>18.479703488017524</v>
      </c>
      <c r="AT32" s="166"/>
      <c r="AU32" s="146">
        <v>62.1</v>
      </c>
      <c r="AV32" s="145">
        <f>B32*HRT!E32</f>
        <v>265.63551572663584</v>
      </c>
      <c r="AW32" s="145">
        <f>C32*HRT!E32</f>
        <v>340.07095260606138</v>
      </c>
      <c r="AX32" s="145">
        <f>D32*HRT!E32</f>
        <v>189.22762524469803</v>
      </c>
      <c r="AY32" s="145">
        <f>E32*HRT!E32</f>
        <v>0</v>
      </c>
      <c r="AZ32" s="145">
        <f>F32*HRT!E32</f>
        <v>10.215461696945393</v>
      </c>
      <c r="BA32" s="99">
        <f>H32*HRT!E32</f>
        <v>0</v>
      </c>
      <c r="BB32" s="99">
        <f>I32*HRT!E32</f>
        <v>248.49292256452961</v>
      </c>
      <c r="BC32" s="99">
        <f>J32*HRT!E32</f>
        <v>4.6773758099352056</v>
      </c>
      <c r="BD32" s="99">
        <f>K32*HRT!E32</f>
        <v>1.6207013959822949</v>
      </c>
      <c r="BE32" s="99">
        <f>L32*HRT!E32</f>
        <v>470.46646237657473</v>
      </c>
      <c r="BF32" s="99">
        <f>M32*HRT!E32</f>
        <v>1.8065211005581121</v>
      </c>
      <c r="BG32" s="99">
        <f>N32*HRT!E32</f>
        <v>7.7014462809917354</v>
      </c>
      <c r="BH32" s="99">
        <f>O32*HRT!E32</f>
        <v>10.851228185474573</v>
      </c>
      <c r="BI32" s="99">
        <f>P32*HRT!E32</f>
        <v>1.4587132065642097</v>
      </c>
    </row>
    <row r="33" spans="1:66">
      <c r="A33" s="183">
        <f>Productivities!A33</f>
        <v>62.996527777781012</v>
      </c>
      <c r="B33" s="143">
        <f>Productivities!B33-Productivities!P33</f>
        <v>102.11428154679089</v>
      </c>
      <c r="C33" s="143">
        <f>Productivities!C33-Productivities!Q33</f>
        <v>130.84478087257392</v>
      </c>
      <c r="D33" s="143">
        <f>Productivities!D33-Productivities!R33</f>
        <v>72.84577328310354</v>
      </c>
      <c r="E33" s="143">
        <f>Productivities!E33</f>
        <v>0</v>
      </c>
      <c r="F33" s="143">
        <f>Productivities!F33</f>
        <v>3.9325822844080891</v>
      </c>
      <c r="G33" s="143">
        <f t="shared" si="14"/>
        <v>309.73741798687649</v>
      </c>
      <c r="H33" s="144">
        <f>Productivities!I33</f>
        <v>0</v>
      </c>
      <c r="I33" s="144">
        <f>Productivities!J33</f>
        <v>93.048884738111596</v>
      </c>
      <c r="J33" s="144">
        <f>Productivities!K33</f>
        <v>1.710995172599469</v>
      </c>
      <c r="K33" s="144">
        <f>Productivities!L33</f>
        <v>0.49515261829687607</v>
      </c>
      <c r="L33" s="144">
        <f>Productivities!M33</f>
        <v>177.36888000676521</v>
      </c>
      <c r="M33" s="144">
        <f>Productivities!N33</f>
        <v>0.78691059482229653</v>
      </c>
      <c r="N33" s="144">
        <f>Productivities!O33</f>
        <v>3.6174719023031798</v>
      </c>
      <c r="O33" s="144">
        <f>Productivities!U33-Productivities!G33</f>
        <v>-0.89813068831520582</v>
      </c>
      <c r="P33" s="144">
        <f>Productivities!H33</f>
        <v>0</v>
      </c>
      <c r="Q33" s="144">
        <f t="shared" si="15"/>
        <v>276.13016434458336</v>
      </c>
      <c r="R33" s="144">
        <f t="shared" si="16"/>
        <v>277.0282950328986</v>
      </c>
      <c r="S33" s="119">
        <f t="shared" si="1"/>
        <v>-102.11428154679089</v>
      </c>
      <c r="T33" s="166">
        <f t="shared" si="2"/>
        <v>-130.84478087257392</v>
      </c>
      <c r="U33" s="119">
        <f t="shared" si="3"/>
        <v>-72.84577328310354</v>
      </c>
      <c r="V33" s="166">
        <f t="shared" si="4"/>
        <v>-3.9325822844080891</v>
      </c>
      <c r="W33" s="119">
        <f t="shared" si="5"/>
        <v>93.048884738111596</v>
      </c>
      <c r="X33" s="119">
        <f t="shared" si="6"/>
        <v>1.710995172599469</v>
      </c>
      <c r="Y33" s="119">
        <f t="shared" si="7"/>
        <v>0.49515261829687607</v>
      </c>
      <c r="Z33" s="119">
        <f t="shared" si="8"/>
        <v>177.36888000676521</v>
      </c>
      <c r="AA33" s="119">
        <f t="shared" si="9"/>
        <v>0.78691059482229653</v>
      </c>
      <c r="AB33" s="119">
        <f t="shared" si="10"/>
        <v>3.6174719023031798</v>
      </c>
      <c r="AC33" s="119">
        <f t="shared" si="11"/>
        <v>0</v>
      </c>
      <c r="AD33" s="119">
        <f t="shared" si="12"/>
        <v>0</v>
      </c>
      <c r="AE33" s="166">
        <f t="shared" si="13"/>
        <v>-0.89813068831520582</v>
      </c>
      <c r="AF33" s="166"/>
      <c r="AG33" s="166" t="s">
        <v>184</v>
      </c>
      <c r="AH33" s="193">
        <f t="shared" ref="AH33:AS33" si="25">AH15/1.5</f>
        <v>0</v>
      </c>
      <c r="AI33" s="193">
        <f t="shared" si="25"/>
        <v>0</v>
      </c>
      <c r="AJ33" s="193">
        <f t="shared" si="25"/>
        <v>0.42477475157393019</v>
      </c>
      <c r="AK33" s="193">
        <f t="shared" si="25"/>
        <v>2.032692383470093E-2</v>
      </c>
      <c r="AL33" s="193">
        <f t="shared" si="25"/>
        <v>0.57211129743787104</v>
      </c>
      <c r="AM33" s="193">
        <f t="shared" si="25"/>
        <v>9.1880701512943211E-2</v>
      </c>
      <c r="AN33" s="193">
        <f t="shared" si="25"/>
        <v>0.93865245590534885</v>
      </c>
      <c r="AO33" s="193">
        <f t="shared" si="25"/>
        <v>8.8549113967358997E-2</v>
      </c>
      <c r="AP33" s="193">
        <f t="shared" si="25"/>
        <v>1.0892695222940156</v>
      </c>
      <c r="AQ33" s="193">
        <f t="shared" si="25"/>
        <v>0.20202544779727294</v>
      </c>
      <c r="AR33" s="193">
        <f t="shared" si="25"/>
        <v>0.98709765110674563</v>
      </c>
      <c r="AS33" s="193">
        <f t="shared" si="25"/>
        <v>8.5634599273602938E-2</v>
      </c>
      <c r="AT33" s="166"/>
      <c r="AU33" s="146"/>
      <c r="AV33" s="145">
        <f>B33*HRT!E33</f>
        <v>284.61368604810485</v>
      </c>
      <c r="AW33" s="145">
        <f>C33*HRT!E33</f>
        <v>364.69154774629231</v>
      </c>
      <c r="AX33" s="145">
        <f>D33*HRT!E33</f>
        <v>203.03628183123831</v>
      </c>
      <c r="AY33" s="145">
        <f>E33*HRT!E33</f>
        <v>0</v>
      </c>
      <c r="AZ33" s="145">
        <f>F33*HRT!E33</f>
        <v>10.960922631963008</v>
      </c>
      <c r="BA33" s="99">
        <f>H33*HRT!E33</f>
        <v>0</v>
      </c>
      <c r="BB33" s="99">
        <f>I33*HRT!E33</f>
        <v>259.34654454621153</v>
      </c>
      <c r="BC33" s="99">
        <f>J33*HRT!E33</f>
        <v>4.7688984881209509</v>
      </c>
      <c r="BD33" s="99">
        <f>K33*HRT!E33</f>
        <v>1.3800930654863237</v>
      </c>
      <c r="BE33" s="99">
        <f>L33*HRT!E33</f>
        <v>494.36386335262739</v>
      </c>
      <c r="BF33" s="99">
        <f>M33*HRT!E33</f>
        <v>2.1932830705962991</v>
      </c>
      <c r="BG33" s="99">
        <f>N33*HRT!E33</f>
        <v>10.082644628099175</v>
      </c>
      <c r="BH33" s="99">
        <f>O33*HRT!E33</f>
        <v>-2.503276543518369</v>
      </c>
      <c r="BI33" s="99">
        <f>P33*HRT!E33</f>
        <v>0</v>
      </c>
    </row>
    <row r="34" spans="1:66">
      <c r="A34" s="183">
        <f>Productivities!A34</f>
        <v>65.071527777778101</v>
      </c>
      <c r="B34" s="143">
        <f>Productivities!B34-Productivities!P34</f>
        <v>97.401690468175588</v>
      </c>
      <c r="C34" s="143">
        <f>Productivities!C34-Productivities!Q34</f>
        <v>125.26921846931857</v>
      </c>
      <c r="D34" s="143">
        <f>Productivities!D34-Productivities!R34</f>
        <v>69.528940272733351</v>
      </c>
      <c r="E34" s="143">
        <f>Productivities!E34</f>
        <v>0</v>
      </c>
      <c r="F34" s="143">
        <f>Productivities!F34</f>
        <v>3.7535229080153165</v>
      </c>
      <c r="G34" s="143">
        <f t="shared" si="14"/>
        <v>295.95337211824284</v>
      </c>
      <c r="H34" s="144">
        <f>Productivities!I34</f>
        <v>0</v>
      </c>
      <c r="I34" s="144">
        <f>Productivities!J34</f>
        <v>94.27427039744569</v>
      </c>
      <c r="J34" s="144">
        <f>Productivities!K34</f>
        <v>1.9803971912431211</v>
      </c>
      <c r="K34" s="144">
        <f>Productivities!L34</f>
        <v>0.5235540947428784</v>
      </c>
      <c r="L34" s="144">
        <f>Productivities!M34</f>
        <v>176.92604480517753</v>
      </c>
      <c r="M34" s="144">
        <f>Productivities!N34</f>
        <v>0.82518949685930576</v>
      </c>
      <c r="N34" s="144">
        <f>Productivities!O34</f>
        <v>3.7803500290478875</v>
      </c>
      <c r="O34" s="144">
        <f>Productivities!U34-Productivities!G34</f>
        <v>-6.4354231206325778</v>
      </c>
      <c r="P34" s="144">
        <f>Productivities!H34</f>
        <v>0</v>
      </c>
      <c r="Q34" s="144">
        <f t="shared" si="15"/>
        <v>271.87438289388388</v>
      </c>
      <c r="R34" s="144">
        <f t="shared" si="16"/>
        <v>278.30980601451643</v>
      </c>
      <c r="S34" s="119">
        <f t="shared" si="1"/>
        <v>-97.401690468175588</v>
      </c>
      <c r="T34" s="166">
        <f t="shared" si="2"/>
        <v>-125.26921846931857</v>
      </c>
      <c r="U34" s="119">
        <f t="shared" si="3"/>
        <v>-69.528940272733351</v>
      </c>
      <c r="V34" s="166">
        <f t="shared" si="4"/>
        <v>-3.7535229080153165</v>
      </c>
      <c r="W34" s="119">
        <f t="shared" si="5"/>
        <v>94.27427039744569</v>
      </c>
      <c r="X34" s="119">
        <f t="shared" si="6"/>
        <v>1.9803971912431211</v>
      </c>
      <c r="Y34" s="119">
        <f t="shared" si="7"/>
        <v>0.5235540947428784</v>
      </c>
      <c r="Z34" s="119">
        <f t="shared" si="8"/>
        <v>176.92604480517753</v>
      </c>
      <c r="AA34" s="119">
        <f t="shared" si="9"/>
        <v>0.82518949685930576</v>
      </c>
      <c r="AB34" s="119">
        <f t="shared" si="10"/>
        <v>3.7803500290478875</v>
      </c>
      <c r="AC34" s="119">
        <f t="shared" si="11"/>
        <v>0</v>
      </c>
      <c r="AD34" s="119">
        <f t="shared" si="12"/>
        <v>0</v>
      </c>
      <c r="AE34" s="166">
        <f t="shared" si="13"/>
        <v>-6.4354231206325778</v>
      </c>
      <c r="AF34" s="166"/>
      <c r="AG34" s="166" t="s">
        <v>185</v>
      </c>
      <c r="AH34" s="193">
        <f t="shared" ref="AH34:AS34" si="26">AH16/1.5</f>
        <v>4.3151644813677024E-2</v>
      </c>
      <c r="AI34" s="193">
        <f t="shared" si="26"/>
        <v>8.3678883844726784E-2</v>
      </c>
      <c r="AJ34" s="193">
        <f t="shared" si="26"/>
        <v>0.12990081196827824</v>
      </c>
      <c r="AK34" s="193">
        <f t="shared" si="26"/>
        <v>0.15944355174681971</v>
      </c>
      <c r="AL34" s="193">
        <f t="shared" si="26"/>
        <v>2.50751531569369</v>
      </c>
      <c r="AM34" s="193">
        <f t="shared" si="26"/>
        <v>0.30974761122661493</v>
      </c>
      <c r="AN34" s="193">
        <f t="shared" si="26"/>
        <v>5.0421233270732264</v>
      </c>
      <c r="AO34" s="193">
        <f t="shared" si="26"/>
        <v>2.1613684314733232</v>
      </c>
      <c r="AP34" s="193">
        <f t="shared" si="26"/>
        <v>5.9954647630791138</v>
      </c>
      <c r="AQ34" s="193">
        <f t="shared" si="26"/>
        <v>2.7636096162952932</v>
      </c>
      <c r="AR34" s="193">
        <f t="shared" si="26"/>
        <v>2.0306260039499708</v>
      </c>
      <c r="AS34" s="193">
        <f t="shared" si="26"/>
        <v>0.89710499211678008</v>
      </c>
      <c r="AT34" s="166"/>
      <c r="AU34" s="146"/>
      <c r="AV34" s="145">
        <f>B34*HRT!E34</f>
        <v>263.5083113629882</v>
      </c>
      <c r="AW34" s="145">
        <f>C34*HRT!E34</f>
        <v>338.90048587397672</v>
      </c>
      <c r="AX34" s="145">
        <f>D34*HRT!E34</f>
        <v>188.10200884667671</v>
      </c>
      <c r="AY34" s="145">
        <f>E34*HRT!E34</f>
        <v>0</v>
      </c>
      <c r="AZ34" s="145">
        <f>F34*HRT!E34</f>
        <v>10.154695246039658</v>
      </c>
      <c r="BA34" s="99">
        <f>H34*HRT!E34</f>
        <v>0</v>
      </c>
      <c r="BB34" s="99">
        <f>I34*HRT!E34</f>
        <v>255.04746044962531</v>
      </c>
      <c r="BC34" s="99">
        <f>J34*HRT!E34</f>
        <v>5.3577213822894167</v>
      </c>
      <c r="BD34" s="99">
        <f>K34*HRT!E34</f>
        <v>1.4164113040517534</v>
      </c>
      <c r="BE34" s="99">
        <f>L34*HRT!E34</f>
        <v>478.65168539325845</v>
      </c>
      <c r="BF34" s="99">
        <f>M34*HRT!E34</f>
        <v>2.23244883971409</v>
      </c>
      <c r="BG34" s="99">
        <f>N34*HRT!E34</f>
        <v>10.227272727272728</v>
      </c>
      <c r="BH34" s="99">
        <f>O34*HRT!E34</f>
        <v>-17.410246898931323</v>
      </c>
      <c r="BI34" s="99">
        <f>P34*HRT!E34</f>
        <v>0</v>
      </c>
    </row>
    <row r="35" spans="1:66">
      <c r="A35" s="183">
        <f>Productivities!A35</f>
        <v>67.984722222223354</v>
      </c>
      <c r="B35" s="143">
        <f>Productivities!B35-Productivities!P35</f>
        <v>94.164694583945419</v>
      </c>
      <c r="C35" s="143">
        <f>Productivities!C35-Productivities!Q35</f>
        <v>111.36679621886218</v>
      </c>
      <c r="D35" s="143">
        <f>Productivities!D35-Productivities!R35</f>
        <v>65.366794623539874</v>
      </c>
      <c r="E35" s="143">
        <f>Productivities!E35</f>
        <v>0</v>
      </c>
      <c r="F35" s="143">
        <f>Productivities!F35</f>
        <v>3.4552821173912216</v>
      </c>
      <c r="G35" s="143">
        <f t="shared" si="14"/>
        <v>274.35356754373868</v>
      </c>
      <c r="H35" s="144">
        <f>Productivities!I35</f>
        <v>0</v>
      </c>
      <c r="I35" s="144">
        <f>Productivities!J35</f>
        <v>89.006499099552641</v>
      </c>
      <c r="J35" s="144">
        <f>Productivities!K35</f>
        <v>1.8514339912528996</v>
      </c>
      <c r="K35" s="144">
        <f>Productivities!L35</f>
        <v>0.51771938138222329</v>
      </c>
      <c r="L35" s="144">
        <f>Productivities!M35</f>
        <v>163.19254500283938</v>
      </c>
      <c r="M35" s="144">
        <f>Productivities!N35</f>
        <v>0.73776831334658599</v>
      </c>
      <c r="N35" s="144">
        <f>Productivities!O35</f>
        <v>3.692099274426579</v>
      </c>
      <c r="O35" s="144">
        <f>Productivities!U35-Productivities!G35</f>
        <v>-5.1887981443036324</v>
      </c>
      <c r="P35" s="144">
        <f>Productivities!H35</f>
        <v>0</v>
      </c>
      <c r="Q35" s="144">
        <f t="shared" si="15"/>
        <v>253.80926691849669</v>
      </c>
      <c r="R35" s="144">
        <f t="shared" si="16"/>
        <v>258.99806506280032</v>
      </c>
      <c r="S35" s="119">
        <f t="shared" si="1"/>
        <v>-94.164694583945419</v>
      </c>
      <c r="T35" s="166">
        <f t="shared" si="2"/>
        <v>-111.36679621886218</v>
      </c>
      <c r="U35" s="119">
        <f t="shared" si="3"/>
        <v>-65.366794623539874</v>
      </c>
      <c r="V35" s="166">
        <f t="shared" si="4"/>
        <v>-3.4552821173912216</v>
      </c>
      <c r="W35" s="119">
        <f t="shared" si="5"/>
        <v>89.006499099552641</v>
      </c>
      <c r="X35" s="119">
        <f t="shared" si="6"/>
        <v>1.8514339912528996</v>
      </c>
      <c r="Y35" s="119">
        <f t="shared" si="7"/>
        <v>0.51771938138222329</v>
      </c>
      <c r="Z35" s="119">
        <f t="shared" si="8"/>
        <v>163.19254500283938</v>
      </c>
      <c r="AA35" s="119">
        <f t="shared" si="9"/>
        <v>0.73776831334658599</v>
      </c>
      <c r="AB35" s="119">
        <f t="shared" si="10"/>
        <v>3.692099274426579</v>
      </c>
      <c r="AC35" s="119">
        <f t="shared" si="11"/>
        <v>0</v>
      </c>
      <c r="AD35" s="119">
        <f t="shared" si="12"/>
        <v>0</v>
      </c>
      <c r="AE35" s="166">
        <f t="shared" si="13"/>
        <v>-5.1887981443036324</v>
      </c>
      <c r="AF35" s="166"/>
      <c r="AG35" s="166" t="s">
        <v>196</v>
      </c>
      <c r="AH35" s="193">
        <f t="shared" ref="AH35:AS35" si="27">AH17/1.5</f>
        <v>0</v>
      </c>
      <c r="AI35" s="193">
        <f t="shared" si="27"/>
        <v>0</v>
      </c>
      <c r="AJ35" s="193">
        <f t="shared" si="27"/>
        <v>0</v>
      </c>
      <c r="AK35" s="193">
        <f t="shared" si="27"/>
        <v>0</v>
      </c>
      <c r="AL35" s="193">
        <f t="shared" si="27"/>
        <v>6.614986112953522E-2</v>
      </c>
      <c r="AM35" s="193">
        <f t="shared" si="27"/>
        <v>0.16203340632332816</v>
      </c>
      <c r="AN35" s="193">
        <f t="shared" si="27"/>
        <v>3.6154864454626769E-2</v>
      </c>
      <c r="AO35" s="193">
        <f t="shared" si="27"/>
        <v>8.8560969633324382E-2</v>
      </c>
      <c r="AP35" s="193">
        <f t="shared" si="27"/>
        <v>0.41876934768905777</v>
      </c>
      <c r="AQ35" s="193">
        <f t="shared" si="27"/>
        <v>0.36830051948034986</v>
      </c>
      <c r="AR35" s="193">
        <f t="shared" si="27"/>
        <v>-36.5353346131092</v>
      </c>
      <c r="AS35" s="193">
        <f t="shared" si="27"/>
        <v>14.558799898206606</v>
      </c>
      <c r="AT35" s="166"/>
      <c r="AU35" s="146">
        <v>67.98</v>
      </c>
      <c r="AV35" s="145">
        <f>B35*HRT!E35</f>
        <v>254.31922130978563</v>
      </c>
      <c r="AW35" s="145">
        <f>C35*HRT!E35</f>
        <v>300.77851385051355</v>
      </c>
      <c r="AX35" s="145">
        <f>D35*HRT!E35</f>
        <v>176.54209342075063</v>
      </c>
      <c r="AY35" s="145">
        <f>E35*HRT!E35</f>
        <v>0</v>
      </c>
      <c r="AZ35" s="145">
        <f>F35*HRT!E35</f>
        <v>9.3319971076546562</v>
      </c>
      <c r="BA35" s="99">
        <f>H35*HRT!E35</f>
        <v>0</v>
      </c>
      <c r="BB35" s="99">
        <f>I35*HRT!E35</f>
        <v>240.38800999167358</v>
      </c>
      <c r="BC35" s="99">
        <f>J35*HRT!E35</f>
        <v>5.000337473002161</v>
      </c>
      <c r="BD35" s="99">
        <f>K35*HRT!E35</f>
        <v>1.3982521847690388</v>
      </c>
      <c r="BE35" s="99">
        <f>L35*HRT!E35</f>
        <v>440.749063670412</v>
      </c>
      <c r="BF35" s="99">
        <f>M35*HRT!E35</f>
        <v>1.9925585038676201</v>
      </c>
      <c r="BG35" s="99">
        <f>N35*HRT!E35</f>
        <v>9.9715909090909083</v>
      </c>
      <c r="BH35" s="99">
        <f>O35*HRT!E35</f>
        <v>-14.013862726614175</v>
      </c>
      <c r="BI35" s="99">
        <f>P35*HRT!E35</f>
        <v>0</v>
      </c>
      <c r="BJ35">
        <f>AVERAGE(AV30,AV33,AV36)</f>
        <v>268.85642503310618</v>
      </c>
      <c r="BK35">
        <f t="shared" ref="BK35:BN35" si="28">AVERAGE(AW30,AW33,AW36)</f>
        <v>334.53564432893751</v>
      </c>
      <c r="BL35">
        <f t="shared" si="28"/>
        <v>190.03937253805103</v>
      </c>
      <c r="BM35">
        <f t="shared" si="28"/>
        <v>0</v>
      </c>
      <c r="BN35">
        <f t="shared" si="28"/>
        <v>10.338931226789342</v>
      </c>
    </row>
    <row r="36" spans="1:66">
      <c r="A36" s="183">
        <f>Productivities!A36</f>
        <v>70.167361111110949</v>
      </c>
      <c r="B36" s="143">
        <f>Productivities!B36-Productivities!P36</f>
        <v>115.26274333944653</v>
      </c>
      <c r="C36" s="143">
        <f>Productivities!C36-Productivities!Q36</f>
        <v>135.92479482224604</v>
      </c>
      <c r="D36" s="143">
        <f>Productivities!D36-Productivities!R36</f>
        <v>79.885812482493023</v>
      </c>
      <c r="E36" s="143">
        <f>Productivities!E36</f>
        <v>0</v>
      </c>
      <c r="F36" s="143">
        <f>Productivities!F36</f>
        <v>4.2227559251409801</v>
      </c>
      <c r="G36" s="143">
        <f t="shared" si="14"/>
        <v>335.29610656932658</v>
      </c>
      <c r="H36" s="144">
        <f>Productivities!I36</f>
        <v>0</v>
      </c>
      <c r="I36" s="144">
        <f>Productivities!J36</f>
        <v>109.08478258365936</v>
      </c>
      <c r="J36" s="144">
        <f>Productivities!K36</f>
        <v>2.7015560196668047</v>
      </c>
      <c r="K36" s="144">
        <f>Productivities!L36</f>
        <v>0.64856280934722477</v>
      </c>
      <c r="L36" s="144">
        <f>Productivities!M36</f>
        <v>203.29906218564136</v>
      </c>
      <c r="M36" s="144">
        <f>Productivities!N36</f>
        <v>1.0278335458258325</v>
      </c>
      <c r="N36" s="144">
        <f>Productivities!O36</f>
        <v>3.7537895753207668</v>
      </c>
      <c r="O36" s="144">
        <f>Productivities!U36-Productivities!G36</f>
        <v>2.9699299629512268</v>
      </c>
      <c r="P36" s="144">
        <f>Productivities!H36</f>
        <v>0</v>
      </c>
      <c r="Q36" s="144">
        <f t="shared" si="15"/>
        <v>323.48551668241259</v>
      </c>
      <c r="R36" s="144">
        <f t="shared" si="16"/>
        <v>320.51558671946134</v>
      </c>
      <c r="S36" s="119">
        <f t="shared" si="1"/>
        <v>-115.26274333944653</v>
      </c>
      <c r="T36" s="166">
        <f t="shared" si="2"/>
        <v>-135.92479482224604</v>
      </c>
      <c r="U36" s="119">
        <f t="shared" si="3"/>
        <v>-79.885812482493023</v>
      </c>
      <c r="V36" s="166">
        <f t="shared" si="4"/>
        <v>-4.2227559251409801</v>
      </c>
      <c r="W36" s="119">
        <f t="shared" si="5"/>
        <v>109.08478258365936</v>
      </c>
      <c r="X36" s="119">
        <f t="shared" si="6"/>
        <v>2.7015560196668047</v>
      </c>
      <c r="Y36" s="119">
        <f t="shared" si="7"/>
        <v>0.64856280934722477</v>
      </c>
      <c r="Z36" s="119">
        <f t="shared" si="8"/>
        <v>203.29906218564136</v>
      </c>
      <c r="AA36" s="119">
        <f t="shared" si="9"/>
        <v>1.0278335458258325</v>
      </c>
      <c r="AB36" s="119">
        <f t="shared" si="10"/>
        <v>3.7537895753207668</v>
      </c>
      <c r="AC36" s="119">
        <f t="shared" si="11"/>
        <v>0</v>
      </c>
      <c r="AD36" s="119">
        <f t="shared" si="12"/>
        <v>0</v>
      </c>
      <c r="AE36" s="166">
        <f t="shared" si="13"/>
        <v>2.9699299629512268</v>
      </c>
      <c r="AF36" s="166"/>
      <c r="AG36" s="128" t="s">
        <v>324</v>
      </c>
      <c r="AH36" s="193">
        <f t="shared" ref="AH36:AS36" si="29">AH18/1.5</f>
        <v>0</v>
      </c>
      <c r="AI36" s="193">
        <f t="shared" si="29"/>
        <v>0</v>
      </c>
      <c r="AJ36" s="193">
        <f t="shared" si="29"/>
        <v>0</v>
      </c>
      <c r="AK36" s="193">
        <f t="shared" si="29"/>
        <v>0</v>
      </c>
      <c r="AL36" s="193">
        <f t="shared" si="29"/>
        <v>0</v>
      </c>
      <c r="AM36" s="193">
        <f t="shared" si="29"/>
        <v>0</v>
      </c>
      <c r="AN36" s="193">
        <f t="shared" si="29"/>
        <v>0</v>
      </c>
      <c r="AO36" s="193">
        <f t="shared" si="29"/>
        <v>0</v>
      </c>
      <c r="AP36" s="193">
        <f t="shared" si="29"/>
        <v>2.4009871396571209E-2</v>
      </c>
      <c r="AQ36" s="193">
        <f t="shared" si="29"/>
        <v>6.7910171519729709E-2</v>
      </c>
      <c r="AR36" s="193">
        <f t="shared" si="29"/>
        <v>2.2634590546213631</v>
      </c>
      <c r="AS36" s="193">
        <f t="shared" si="29"/>
        <v>1.5367404380818988</v>
      </c>
      <c r="AT36" s="166"/>
      <c r="AU36" s="146"/>
      <c r="AV36" s="145">
        <f>B36*HRT!E36</f>
        <v>264.43223829958202</v>
      </c>
      <c r="AW36" s="145">
        <f>C36*HRT!E36</f>
        <v>311.83448089038473</v>
      </c>
      <c r="AX36" s="145">
        <f>D36*HRT!E36</f>
        <v>183.27157233205372</v>
      </c>
      <c r="AY36" s="145">
        <f>E36*HRT!E36</f>
        <v>0</v>
      </c>
      <c r="AZ36" s="145">
        <f>F36*HRT!E36</f>
        <v>9.6877166786616353</v>
      </c>
      <c r="BA36" s="99">
        <f>H36*HRT!E36</f>
        <v>0</v>
      </c>
      <c r="BB36" s="99">
        <f>I36*HRT!E36</f>
        <v>250.25895087427145</v>
      </c>
      <c r="BC36" s="99">
        <f>J36*HRT!E36</f>
        <v>6.197826673866091</v>
      </c>
      <c r="BD36" s="99">
        <f>K36*HRT!E36</f>
        <v>1.4879128362274432</v>
      </c>
      <c r="BE36" s="99">
        <f>L36*HRT!E36</f>
        <v>466.40245148110318</v>
      </c>
      <c r="BF36" s="99">
        <f>M36*HRT!E36</f>
        <v>2.3580240869480074</v>
      </c>
      <c r="BG36" s="99">
        <f>N36*HRT!E36</f>
        <v>8.6118285123966949</v>
      </c>
      <c r="BH36" s="99">
        <f>O36*HRT!E36</f>
        <v>6.8135219147384092</v>
      </c>
      <c r="BI36" s="99">
        <f>P36*HRT!E36</f>
        <v>0</v>
      </c>
      <c r="BJ36">
        <f>STDEVA(AV30,AV33,AV36)</f>
        <v>14.076634463132692</v>
      </c>
      <c r="BK36">
        <f t="shared" ref="BK36:BN36" si="30">STDEVA(AW30,AW33,AW36)</f>
        <v>27.205647212777958</v>
      </c>
      <c r="BL36">
        <f t="shared" si="30"/>
        <v>11.258875850273604</v>
      </c>
      <c r="BM36">
        <f t="shared" si="30"/>
        <v>0</v>
      </c>
      <c r="BN36">
        <f t="shared" si="30"/>
        <v>0.6371058341779634</v>
      </c>
    </row>
    <row r="37" spans="1:66">
      <c r="A37" s="183">
        <f>Productivities!A37</f>
        <v>72.156944444446708</v>
      </c>
      <c r="B37" s="143">
        <f>Productivities!B37-Productivities!P37</f>
        <v>107.98137843412562</v>
      </c>
      <c r="C37" s="143">
        <f>Productivities!C37-Productivities!Q37</f>
        <v>127.59205110043906</v>
      </c>
      <c r="D37" s="143">
        <f>Productivities!D37-Productivities!R37</f>
        <v>74.926770237882153</v>
      </c>
      <c r="E37" s="143">
        <f>Productivities!E37</f>
        <v>0</v>
      </c>
      <c r="F37" s="143">
        <f>Productivities!F37</f>
        <v>3.9606214563196964</v>
      </c>
      <c r="G37" s="143">
        <f t="shared" si="14"/>
        <v>314.46082122876658</v>
      </c>
      <c r="H37" s="144">
        <f>Productivities!I37</f>
        <v>0</v>
      </c>
      <c r="I37" s="144">
        <f>Productivities!J37</f>
        <v>102.3586888137887</v>
      </c>
      <c r="J37" s="144">
        <f>Productivities!K37</f>
        <v>1.9941492927303146</v>
      </c>
      <c r="K37" s="144">
        <f>Productivities!L37</f>
        <v>0.6303861869148536</v>
      </c>
      <c r="L37" s="144">
        <f>Productivities!M37</f>
        <v>192.10356875865756</v>
      </c>
      <c r="M37" s="144">
        <f>Productivities!N37</f>
        <v>1.0339991556075407</v>
      </c>
      <c r="N37" s="144">
        <f>Productivities!O37</f>
        <v>4.5807139890456252</v>
      </c>
      <c r="O37" s="144">
        <f>Productivities!U37-Productivities!G37</f>
        <v>6.344247289754037</v>
      </c>
      <c r="P37" s="144">
        <f>Productivities!H37</f>
        <v>0</v>
      </c>
      <c r="Q37" s="144">
        <f t="shared" si="15"/>
        <v>309.04575348649865</v>
      </c>
      <c r="R37" s="144">
        <f t="shared" si="16"/>
        <v>302.70150619674462</v>
      </c>
      <c r="S37" s="119">
        <f t="shared" si="1"/>
        <v>-107.98137843412562</v>
      </c>
      <c r="T37" s="166">
        <f t="shared" si="2"/>
        <v>-127.59205110043906</v>
      </c>
      <c r="U37" s="119">
        <f t="shared" si="3"/>
        <v>-74.926770237882153</v>
      </c>
      <c r="V37" s="166">
        <f t="shared" si="4"/>
        <v>-3.9606214563196964</v>
      </c>
      <c r="W37" s="119">
        <f t="shared" si="5"/>
        <v>102.3586888137887</v>
      </c>
      <c r="X37" s="119">
        <f t="shared" si="6"/>
        <v>1.9941492927303146</v>
      </c>
      <c r="Y37" s="119">
        <f t="shared" si="7"/>
        <v>0.6303861869148536</v>
      </c>
      <c r="Z37" s="119">
        <f t="shared" si="8"/>
        <v>192.10356875865756</v>
      </c>
      <c r="AA37" s="119">
        <f t="shared" si="9"/>
        <v>1.0339991556075407</v>
      </c>
      <c r="AB37" s="119">
        <f t="shared" si="10"/>
        <v>4.5807139890456252</v>
      </c>
      <c r="AC37" s="119">
        <f t="shared" si="11"/>
        <v>0</v>
      </c>
      <c r="AD37" s="119">
        <f t="shared" si="12"/>
        <v>0</v>
      </c>
      <c r="AE37" s="166">
        <f t="shared" si="13"/>
        <v>6.344247289754037</v>
      </c>
      <c r="AF37" s="166"/>
      <c r="AG37" s="166" t="s">
        <v>193</v>
      </c>
      <c r="AH37" s="193">
        <f t="shared" ref="AH37:AS37" si="31">AH19/1.5</f>
        <v>0</v>
      </c>
      <c r="AI37" s="193">
        <f t="shared" si="31"/>
        <v>0</v>
      </c>
      <c r="AJ37" s="193">
        <f t="shared" si="31"/>
        <v>0</v>
      </c>
      <c r="AK37" s="193">
        <f t="shared" si="31"/>
        <v>0</v>
      </c>
      <c r="AL37" s="193">
        <f t="shared" si="31"/>
        <v>-48.864899692931083</v>
      </c>
      <c r="AM37" s="193">
        <f t="shared" si="31"/>
        <v>3.5128611452427472</v>
      </c>
      <c r="AN37" s="193">
        <f t="shared" si="31"/>
        <v>-59.934722861079052</v>
      </c>
      <c r="AO37" s="193">
        <f t="shared" si="31"/>
        <v>4.992816857303441</v>
      </c>
      <c r="AP37" s="193">
        <f t="shared" si="31"/>
        <v>-61.509094788890792</v>
      </c>
      <c r="AQ37" s="193">
        <f t="shared" si="31"/>
        <v>6.8215059841120391</v>
      </c>
      <c r="AR37" s="193">
        <f t="shared" si="31"/>
        <v>-62.175910299744793</v>
      </c>
      <c r="AS37" s="193">
        <f t="shared" si="31"/>
        <v>3.5917567908825796</v>
      </c>
      <c r="AT37" s="166"/>
      <c r="AU37" s="146"/>
      <c r="AV37" s="145">
        <f>B37*HRT!E37</f>
        <v>296.12420559702463</v>
      </c>
      <c r="AW37" s="145">
        <f>C37*HRT!E37</f>
        <v>349.90380119718685</v>
      </c>
      <c r="AX37" s="145">
        <f>D37*HRT!E37</f>
        <v>205.47645007309549</v>
      </c>
      <c r="AY37" s="145">
        <f>E37*HRT!E37</f>
        <v>0</v>
      </c>
      <c r="AZ37" s="145">
        <f>F37*HRT!E37</f>
        <v>10.861464258290546</v>
      </c>
      <c r="BA37" s="99">
        <f>H37*HRT!E37</f>
        <v>0</v>
      </c>
      <c r="BB37" s="99">
        <f>I37*HRT!E37</f>
        <v>280.70474604496258</v>
      </c>
      <c r="BC37" s="99">
        <f>J37*HRT!E37</f>
        <v>5.4686825053995678</v>
      </c>
      <c r="BD37" s="99">
        <f>K37*HRT!E37</f>
        <v>1.728748155714448</v>
      </c>
      <c r="BE37" s="99">
        <f>L37*HRT!E37</f>
        <v>526.81784133469523</v>
      </c>
      <c r="BF37" s="99">
        <f>M37*HRT!E37</f>
        <v>2.835601684128072</v>
      </c>
      <c r="BG37" s="99">
        <f>N37*HRT!E37</f>
        <v>12.561983471074381</v>
      </c>
      <c r="BH37" s="99">
        <f>O37*HRT!E37</f>
        <v>17.398233066042852</v>
      </c>
      <c r="BI37" s="99">
        <f>P37*HRT!E37</f>
        <v>0</v>
      </c>
    </row>
    <row r="38" spans="1:66" s="172" customFormat="1">
      <c r="A38" s="177">
        <f>Productivities!A38</f>
        <v>75.146527777775191</v>
      </c>
      <c r="B38" s="177">
        <f>Productivities!B38-Productivities!P38</f>
        <v>202.50059686861763</v>
      </c>
      <c r="C38" s="177">
        <f>Productivities!C38-Productivities!Q38</f>
        <v>18.781923946304925</v>
      </c>
      <c r="D38" s="177">
        <f>Productivities!D38-Productivities!R38</f>
        <v>97.873337533655942</v>
      </c>
      <c r="E38" s="177">
        <f>Productivities!E38</f>
        <v>0</v>
      </c>
      <c r="F38" s="177">
        <f>Productivities!F38</f>
        <v>3.5822238188048336</v>
      </c>
      <c r="G38" s="177">
        <f t="shared" si="14"/>
        <v>322.73808216738331</v>
      </c>
      <c r="H38" s="178">
        <f>Productivities!I38</f>
        <v>0</v>
      </c>
      <c r="I38" s="178">
        <f>Productivities!J38</f>
        <v>95.352233050951455</v>
      </c>
      <c r="J38" s="178">
        <f>Productivities!K38</f>
        <v>1.9163674723025486</v>
      </c>
      <c r="K38" s="178">
        <f>Productivities!L38</f>
        <v>0.53707298584410679</v>
      </c>
      <c r="L38" s="178">
        <f>Productivities!M38</f>
        <v>170.60698830680028</v>
      </c>
      <c r="M38" s="178">
        <f>Productivities!N38</f>
        <v>0.99805500551050363</v>
      </c>
      <c r="N38" s="178">
        <f>Productivities!O38</f>
        <v>4.8231126738590531</v>
      </c>
      <c r="O38" s="178">
        <f>Productivities!U38-Productivities!G38</f>
        <v>9.531994074692733</v>
      </c>
      <c r="P38" s="178">
        <f>Productivities!H38</f>
        <v>0</v>
      </c>
      <c r="Q38" s="178">
        <f t="shared" si="15"/>
        <v>283.76582356996062</v>
      </c>
      <c r="R38" s="178">
        <f t="shared" si="16"/>
        <v>274.23382949526791</v>
      </c>
      <c r="S38" s="170">
        <f t="shared" si="1"/>
        <v>-202.50059686861763</v>
      </c>
      <c r="T38" s="171">
        <f t="shared" si="2"/>
        <v>-18.781923946304925</v>
      </c>
      <c r="U38" s="170">
        <f t="shared" si="3"/>
        <v>-97.873337533655942</v>
      </c>
      <c r="V38" s="171">
        <f t="shared" si="4"/>
        <v>-3.5822238188048336</v>
      </c>
      <c r="W38" s="170">
        <f t="shared" si="5"/>
        <v>95.352233050951455</v>
      </c>
      <c r="X38" s="170">
        <f t="shared" si="6"/>
        <v>1.9163674723025486</v>
      </c>
      <c r="Y38" s="170">
        <f t="shared" si="7"/>
        <v>0.53707298584410679</v>
      </c>
      <c r="Z38" s="170">
        <f t="shared" si="8"/>
        <v>170.60698830680028</v>
      </c>
      <c r="AA38" s="170">
        <f t="shared" si="9"/>
        <v>0.99805500551050363</v>
      </c>
      <c r="AB38" s="170">
        <f t="shared" si="10"/>
        <v>4.8231126738590531</v>
      </c>
      <c r="AC38" s="170">
        <f t="shared" si="11"/>
        <v>0</v>
      </c>
      <c r="AD38" s="170">
        <f t="shared" si="12"/>
        <v>0</v>
      </c>
      <c r="AE38" s="171">
        <f t="shared" si="13"/>
        <v>9.531994074692733</v>
      </c>
      <c r="AF38" s="171"/>
      <c r="AG38" s="171" t="s">
        <v>315</v>
      </c>
      <c r="AH38" s="193">
        <f t="shared" ref="AH38:AS38" si="32">AH20/1.5</f>
        <v>0</v>
      </c>
      <c r="AI38" s="193">
        <f t="shared" si="32"/>
        <v>0</v>
      </c>
      <c r="AJ38" s="193">
        <f t="shared" si="32"/>
        <v>-64.852595063024424</v>
      </c>
      <c r="AK38" s="193">
        <f t="shared" si="32"/>
        <v>2.4794700331192581</v>
      </c>
      <c r="AL38" s="193">
        <f t="shared" si="32"/>
        <v>-69.482151482096057</v>
      </c>
      <c r="AM38" s="193">
        <f t="shared" si="32"/>
        <v>5.2129505991687592</v>
      </c>
      <c r="AN38" s="193">
        <f t="shared" si="32"/>
        <v>-126.03923635768417</v>
      </c>
      <c r="AO38" s="193">
        <f t="shared" si="32"/>
        <v>10.352107104494236</v>
      </c>
      <c r="AP38" s="193">
        <f t="shared" si="32"/>
        <v>-130.46469499468401</v>
      </c>
      <c r="AQ38" s="193">
        <f t="shared" si="32"/>
        <v>14.474572454300699</v>
      </c>
      <c r="AR38" s="193">
        <f t="shared" si="32"/>
        <v>-133.28121610136557</v>
      </c>
      <c r="AS38" s="193">
        <f t="shared" si="32"/>
        <v>7.4103650477679261</v>
      </c>
      <c r="AT38" s="171"/>
      <c r="AU38" s="175">
        <v>75.150000000000006</v>
      </c>
      <c r="AV38" s="173">
        <f>B38*HRT!E38</f>
        <v>584.71690665882966</v>
      </c>
      <c r="AW38" s="173">
        <f>C38*HRT!E38</f>
        <v>54.232474574433006</v>
      </c>
      <c r="AX38" s="173">
        <f>D38*HRT!E38</f>
        <v>282.60753820979835</v>
      </c>
      <c r="AY38" s="173">
        <f>E38*HRT!E38</f>
        <v>0</v>
      </c>
      <c r="AZ38" s="173">
        <f>F38*HRT!E38</f>
        <v>10.343608180326056</v>
      </c>
      <c r="BA38" s="174">
        <f>H38*HRT!E38</f>
        <v>0</v>
      </c>
      <c r="BB38" s="174">
        <f>I38*HRT!E38</f>
        <v>275.32789342214818</v>
      </c>
      <c r="BC38" s="174">
        <f>J38*HRT!E38</f>
        <v>5.5334773218142557</v>
      </c>
      <c r="BD38" s="174">
        <f>K38*HRT!E38</f>
        <v>1.5507887867438426</v>
      </c>
      <c r="BE38" s="174">
        <f>L38*HRT!E38</f>
        <v>492.6246737033253</v>
      </c>
      <c r="BF38" s="174">
        <f>M38*HRT!E38</f>
        <v>2.8818662488984623</v>
      </c>
      <c r="BG38" s="174">
        <f>N38*HRT!E38</f>
        <v>13.926652892561984</v>
      </c>
      <c r="BH38" s="174">
        <f>O38*HRT!E38</f>
        <v>27.523464996306782</v>
      </c>
      <c r="BI38" s="174">
        <f>P38*HRT!E38</f>
        <v>0</v>
      </c>
    </row>
    <row r="39" spans="1:66">
      <c r="A39" s="144">
        <f>Productivities!A39</f>
        <v>77.093055555553292</v>
      </c>
      <c r="B39" s="143">
        <f>Productivities!B39-Productivities!P39</f>
        <v>214.22930502717199</v>
      </c>
      <c r="C39" s="143">
        <f>Productivities!C39-Productivities!Q39</f>
        <v>19.949521436614358</v>
      </c>
      <c r="D39" s="143">
        <f>Productivities!D39-Productivities!R39</f>
        <v>103.09509017272414</v>
      </c>
      <c r="E39" s="143">
        <f>Productivities!E39</f>
        <v>0</v>
      </c>
      <c r="F39" s="143">
        <f>Productivities!F39</f>
        <v>3.7952351156011845</v>
      </c>
      <c r="G39" s="143">
        <f t="shared" si="14"/>
        <v>341.06915175211168</v>
      </c>
      <c r="H39" s="144">
        <f>Productivities!I39</f>
        <v>0</v>
      </c>
      <c r="I39" s="144">
        <f>Productivities!J39</f>
        <v>88.172370206311811</v>
      </c>
      <c r="J39" s="144">
        <f>Productivities!K39</f>
        <v>1.8829930416388745</v>
      </c>
      <c r="K39" s="144">
        <f>Productivities!L39</f>
        <v>0</v>
      </c>
      <c r="L39" s="144">
        <f>Productivities!M39</f>
        <v>185.19206751558241</v>
      </c>
      <c r="M39" s="144">
        <f>Productivities!N39</f>
        <v>1.1813450622935699</v>
      </c>
      <c r="N39" s="144">
        <f>Productivities!O39</f>
        <v>5.3782679910270188</v>
      </c>
      <c r="O39" s="144">
        <f>Productivities!U39-Productivities!G39</f>
        <v>13.954924618383217</v>
      </c>
      <c r="P39" s="144">
        <f>Productivities!H39</f>
        <v>0</v>
      </c>
      <c r="Q39" s="144">
        <f t="shared" si="15"/>
        <v>295.76196843523689</v>
      </c>
      <c r="R39" s="144">
        <f t="shared" si="16"/>
        <v>281.80704381685371</v>
      </c>
      <c r="S39" s="119">
        <f t="shared" si="1"/>
        <v>-214.22930502717199</v>
      </c>
      <c r="T39" s="166">
        <f t="shared" si="2"/>
        <v>-19.949521436614358</v>
      </c>
      <c r="U39" s="119">
        <f t="shared" si="3"/>
        <v>-103.09509017272414</v>
      </c>
      <c r="V39" s="166">
        <f t="shared" si="4"/>
        <v>-3.7952351156011845</v>
      </c>
      <c r="W39" s="119">
        <f t="shared" si="5"/>
        <v>88.172370206311811</v>
      </c>
      <c r="X39" s="119">
        <f t="shared" si="6"/>
        <v>1.8829930416388745</v>
      </c>
      <c r="Y39" s="119">
        <f t="shared" si="7"/>
        <v>0</v>
      </c>
      <c r="Z39" s="119">
        <f t="shared" si="8"/>
        <v>185.19206751558241</v>
      </c>
      <c r="AA39" s="119">
        <f t="shared" si="9"/>
        <v>1.1813450622935699</v>
      </c>
      <c r="AB39" s="119">
        <f t="shared" si="10"/>
        <v>5.3782679910270188</v>
      </c>
      <c r="AC39" s="119">
        <f t="shared" si="11"/>
        <v>0</v>
      </c>
      <c r="AD39" s="119">
        <f t="shared" si="12"/>
        <v>0</v>
      </c>
      <c r="AE39" s="166">
        <f t="shared" si="13"/>
        <v>13.954924618383217</v>
      </c>
      <c r="AF39" s="166"/>
      <c r="AG39" s="166" t="s">
        <v>192</v>
      </c>
      <c r="AH39" s="193">
        <f t="shared" ref="AH39:AS39" si="33">AH21/1.5</f>
        <v>-73.14835670838454</v>
      </c>
      <c r="AI39" s="193">
        <f t="shared" si="33"/>
        <v>2.550740932805184</v>
      </c>
      <c r="AJ39" s="193">
        <f t="shared" si="33"/>
        <v>-67.945614731462356</v>
      </c>
      <c r="AK39" s="193">
        <f t="shared" si="33"/>
        <v>13.304210043053351</v>
      </c>
      <c r="AL39" s="193">
        <f t="shared" si="33"/>
        <v>-85.532418000818566</v>
      </c>
      <c r="AM39" s="193">
        <f t="shared" si="33"/>
        <v>6.4715457789748223</v>
      </c>
      <c r="AN39" s="193">
        <f t="shared" si="33"/>
        <v>-12.128724450795646</v>
      </c>
      <c r="AO39" s="193">
        <f t="shared" si="33"/>
        <v>0.81184070083770898</v>
      </c>
      <c r="AP39" s="193">
        <f t="shared" si="33"/>
        <v>-12.629966285984011</v>
      </c>
      <c r="AQ39" s="193">
        <f t="shared" si="33"/>
        <v>1.2539112403965913</v>
      </c>
      <c r="AR39" s="193">
        <f t="shared" si="33"/>
        <v>-13.175677315355964</v>
      </c>
      <c r="AS39" s="193">
        <f t="shared" si="33"/>
        <v>1.0676417701704459</v>
      </c>
      <c r="AT39" s="166"/>
      <c r="AU39" s="85"/>
      <c r="AV39" s="145">
        <f>B39*HRT!E39</f>
        <v>573.56799762830815</v>
      </c>
      <c r="AW39" s="145">
        <f>C39*HRT!E39</f>
        <v>53.411959967804577</v>
      </c>
      <c r="AX39" s="145">
        <f>D39*HRT!E39</f>
        <v>276.02220166927759</v>
      </c>
      <c r="AY39" s="145">
        <f>E39*HRT!E39</f>
        <v>0</v>
      </c>
      <c r="AZ39" s="145">
        <f>F39*HRT!E39</f>
        <v>10.161193425464887</v>
      </c>
      <c r="BA39" s="99">
        <f>H39*HRT!E39</f>
        <v>0</v>
      </c>
      <c r="BB39" s="99">
        <f>I39*HRT!E39</f>
        <v>236.06877601998337</v>
      </c>
      <c r="BC39" s="99">
        <f>J39*HRT!E39</f>
        <v>5.0414416846652266</v>
      </c>
      <c r="BD39" s="99">
        <f>K39*HRT!E39</f>
        <v>0</v>
      </c>
      <c r="BE39" s="99">
        <f>L39*HRT!E39</f>
        <v>495.82499148791294</v>
      </c>
      <c r="BF39" s="99">
        <f>M39*HRT!E39</f>
        <v>3.1628806423186133</v>
      </c>
      <c r="BG39" s="99">
        <f>N39*HRT!E39</f>
        <v>14.399535123966942</v>
      </c>
      <c r="BH39" s="99">
        <f>O39*HRT!E39</f>
        <v>37.362293498570779</v>
      </c>
      <c r="BI39" s="99">
        <f>P39*HRT!E39</f>
        <v>0</v>
      </c>
    </row>
    <row r="40" spans="1:66">
      <c r="A40" s="144">
        <f>Productivities!A40</f>
        <v>79.150000000001455</v>
      </c>
      <c r="B40" s="143">
        <f>Productivities!B40-Productivities!P40</f>
        <v>186.13545334998523</v>
      </c>
      <c r="C40" s="143">
        <f>Productivities!C40-Productivities!Q40</f>
        <v>17.303326548689103</v>
      </c>
      <c r="D40" s="143">
        <f>Productivities!D40-Productivities!R40</f>
        <v>89.330584934169508</v>
      </c>
      <c r="E40" s="143">
        <f>Productivities!E40</f>
        <v>0</v>
      </c>
      <c r="F40" s="143">
        <f>Productivities!F40</f>
        <v>3.2938423446726803</v>
      </c>
      <c r="G40" s="143">
        <f t="shared" si="14"/>
        <v>296.06320717751652</v>
      </c>
      <c r="H40" s="144">
        <f>Productivities!I40</f>
        <v>0</v>
      </c>
      <c r="I40" s="144">
        <f>Productivities!J40</f>
        <v>73.149881144378753</v>
      </c>
      <c r="J40" s="144">
        <f>Productivities!K40</f>
        <v>1.7756456366645599</v>
      </c>
      <c r="K40" s="144">
        <f>Productivities!L40</f>
        <v>0.34974772725485243</v>
      </c>
      <c r="L40" s="144">
        <f>Productivities!M40</f>
        <v>160.16718759001841</v>
      </c>
      <c r="M40" s="144">
        <f>Productivities!N40</f>
        <v>1.1687603934882502</v>
      </c>
      <c r="N40" s="144">
        <f>Productivities!O40</f>
        <v>5.2321398876027745</v>
      </c>
      <c r="O40" s="144">
        <f>Productivities!U40-Productivities!G40</f>
        <v>15.398462537544503</v>
      </c>
      <c r="P40" s="144">
        <f>Productivities!H40</f>
        <v>0</v>
      </c>
      <c r="Q40" s="144">
        <f t="shared" si="15"/>
        <v>257.24182491695211</v>
      </c>
      <c r="R40" s="144">
        <f t="shared" si="16"/>
        <v>241.84336237940761</v>
      </c>
      <c r="S40" s="119">
        <f t="shared" si="1"/>
        <v>-186.13545334998523</v>
      </c>
      <c r="T40" s="166">
        <f t="shared" si="2"/>
        <v>-17.303326548689103</v>
      </c>
      <c r="U40" s="119">
        <f t="shared" si="3"/>
        <v>-89.330584934169508</v>
      </c>
      <c r="V40" s="166">
        <f t="shared" si="4"/>
        <v>-3.2938423446726803</v>
      </c>
      <c r="W40" s="119">
        <f t="shared" si="5"/>
        <v>73.149881144378753</v>
      </c>
      <c r="X40" s="119">
        <f t="shared" si="6"/>
        <v>1.7756456366645599</v>
      </c>
      <c r="Y40" s="119">
        <f t="shared" si="7"/>
        <v>0.34974772725485243</v>
      </c>
      <c r="Z40" s="119">
        <f t="shared" si="8"/>
        <v>160.16718759001841</v>
      </c>
      <c r="AA40" s="119">
        <f t="shared" si="9"/>
        <v>1.1687603934882502</v>
      </c>
      <c r="AB40" s="119">
        <f t="shared" si="10"/>
        <v>5.2321398876027745</v>
      </c>
      <c r="AC40" s="119">
        <f t="shared" si="11"/>
        <v>0</v>
      </c>
      <c r="AD40" s="119">
        <f t="shared" si="12"/>
        <v>0</v>
      </c>
      <c r="AE40" s="166">
        <f t="shared" si="13"/>
        <v>15.398462537544503</v>
      </c>
      <c r="AF40" s="166"/>
      <c r="AG40" s="166" t="s">
        <v>28</v>
      </c>
      <c r="AH40" s="193">
        <f t="shared" ref="AH40:AS40" si="34">AH22/1.5</f>
        <v>2.9259734618314135</v>
      </c>
      <c r="AI40" s="193">
        <f t="shared" si="34"/>
        <v>3.1950593597894503</v>
      </c>
      <c r="AJ40" s="193">
        <f t="shared" si="34"/>
        <v>1.2286571548678487</v>
      </c>
      <c r="AK40" s="193">
        <f t="shared" si="34"/>
        <v>6.5939837322782546</v>
      </c>
      <c r="AL40" s="193">
        <f t="shared" si="34"/>
        <v>0.13561864169982604</v>
      </c>
      <c r="AM40" s="193">
        <f t="shared" si="34"/>
        <v>3.4970508923599399</v>
      </c>
      <c r="AN40" s="193">
        <f t="shared" si="34"/>
        <v>9.3872534923095881</v>
      </c>
      <c r="AO40" s="193">
        <f t="shared" si="34"/>
        <v>1.6112680079540338</v>
      </c>
      <c r="AP40" s="193">
        <f t="shared" si="34"/>
        <v>8.20420643001661</v>
      </c>
      <c r="AQ40" s="193">
        <f t="shared" si="34"/>
        <v>2.0310903595062029</v>
      </c>
      <c r="AR40" s="193">
        <f t="shared" si="34"/>
        <v>1.596783369132013</v>
      </c>
      <c r="AS40" s="193">
        <f t="shared" si="34"/>
        <v>2.1209973392727335</v>
      </c>
      <c r="AT40" s="166"/>
      <c r="AU40" s="85"/>
      <c r="AV40" s="145">
        <f>B40*HRT!E40</f>
        <v>567.53416038691887</v>
      </c>
      <c r="AW40" s="145">
        <f>C40*HRT!E40</f>
        <v>52.758508537576958</v>
      </c>
      <c r="AX40" s="145">
        <f>D40*HRT!E40</f>
        <v>272.37239120781533</v>
      </c>
      <c r="AY40" s="145">
        <f>E40*HRT!E40</f>
        <v>0</v>
      </c>
      <c r="AZ40" s="145">
        <f>F40*HRT!E40</f>
        <v>10.043052067118939</v>
      </c>
      <c r="BA40" s="99">
        <f>H40*HRT!E40</f>
        <v>0</v>
      </c>
      <c r="BB40" s="99">
        <f>I40*HRT!E40</f>
        <v>223.0368026644463</v>
      </c>
      <c r="BC40" s="99">
        <f>J40*HRT!E40</f>
        <v>5.414011879049677</v>
      </c>
      <c r="BD40" s="99">
        <f>K40*HRT!E40</f>
        <v>1.0663942798774264</v>
      </c>
      <c r="BE40" s="99">
        <f>L40*HRT!E40</f>
        <v>488.35591873794124</v>
      </c>
      <c r="BF40" s="99">
        <f>M40*HRT!E40</f>
        <v>3.5635954176050131</v>
      </c>
      <c r="BG40" s="99">
        <f>N40*HRT!E40</f>
        <v>15.952995867768596</v>
      </c>
      <c r="BH40" s="99">
        <f>O40*HRT!E40</f>
        <v>46.950504861976839</v>
      </c>
      <c r="BI40" s="99">
        <f>P40*HRT!E40</f>
        <v>0</v>
      </c>
    </row>
    <row r="41" spans="1:66">
      <c r="A41" s="184">
        <f>Productivities!A41</f>
        <v>82.143055555556202</v>
      </c>
      <c r="B41" s="143">
        <f>Productivities!B41-Productivities!P41</f>
        <v>211.91367118591228</v>
      </c>
      <c r="C41" s="143">
        <f>Productivities!C41-Productivities!Q41</f>
        <v>19.692681262747712</v>
      </c>
      <c r="D41" s="143">
        <f>Productivities!D41-Productivities!R41</f>
        <v>101.61362975728166</v>
      </c>
      <c r="E41" s="143">
        <f>Productivities!E41</f>
        <v>0</v>
      </c>
      <c r="F41" s="143">
        <f>Productivities!F41</f>
        <v>3.7574111918705513</v>
      </c>
      <c r="G41" s="143">
        <f t="shared" si="14"/>
        <v>336.97739339781225</v>
      </c>
      <c r="H41" s="144">
        <f>Productivities!I41</f>
        <v>0</v>
      </c>
      <c r="I41" s="144">
        <f>Productivities!J41</f>
        <v>79.422543417134051</v>
      </c>
      <c r="J41" s="144">
        <f>Productivities!K41</f>
        <v>1.8784201649884082</v>
      </c>
      <c r="K41" s="144">
        <f>Productivities!L41</f>
        <v>0.56351113618102944</v>
      </c>
      <c r="L41" s="144">
        <f>Productivities!M41</f>
        <v>188.68725517809</v>
      </c>
      <c r="M41" s="144">
        <f>Productivities!N41</f>
        <v>1.3166686264153464</v>
      </c>
      <c r="N41" s="144">
        <f>Productivities!O41</f>
        <v>4.0831386684959305</v>
      </c>
      <c r="O41" s="144">
        <f>Productivities!U41-Productivities!G41</f>
        <v>13.43442399063369</v>
      </c>
      <c r="P41" s="144">
        <f>Productivities!H41</f>
        <v>0</v>
      </c>
      <c r="Q41" s="144">
        <f t="shared" si="15"/>
        <v>289.38596118193846</v>
      </c>
      <c r="R41" s="144">
        <f t="shared" si="16"/>
        <v>275.95153719130474</v>
      </c>
      <c r="S41" s="119">
        <f t="shared" si="1"/>
        <v>-211.91367118591228</v>
      </c>
      <c r="T41" s="166">
        <f t="shared" si="2"/>
        <v>-19.692681262747712</v>
      </c>
      <c r="U41" s="119">
        <f t="shared" si="3"/>
        <v>-101.61362975728166</v>
      </c>
      <c r="V41" s="166">
        <f t="shared" si="4"/>
        <v>-3.7574111918705513</v>
      </c>
      <c r="W41" s="119">
        <f t="shared" si="5"/>
        <v>79.422543417134051</v>
      </c>
      <c r="X41" s="119">
        <f t="shared" si="6"/>
        <v>1.8784201649884082</v>
      </c>
      <c r="Y41" s="119">
        <f t="shared" si="7"/>
        <v>0.56351113618102944</v>
      </c>
      <c r="Z41" s="119">
        <f t="shared" si="8"/>
        <v>188.68725517809</v>
      </c>
      <c r="AA41" s="119">
        <f t="shared" si="9"/>
        <v>1.3166686264153464</v>
      </c>
      <c r="AB41" s="119">
        <f t="shared" si="10"/>
        <v>4.0831386684959305</v>
      </c>
      <c r="AC41" s="119">
        <f t="shared" si="11"/>
        <v>0</v>
      </c>
      <c r="AD41" s="119">
        <f t="shared" si="12"/>
        <v>0</v>
      </c>
      <c r="AE41" s="166">
        <f t="shared" si="13"/>
        <v>13.43442399063369</v>
      </c>
      <c r="AF41" s="166"/>
      <c r="AG41" s="166" t="s">
        <v>316</v>
      </c>
      <c r="AH41" s="193">
        <f t="shared" ref="AH41:AS41" si="35">AH23/1.5</f>
        <v>-2.2437691677189471</v>
      </c>
      <c r="AI41" s="193">
        <f t="shared" si="35"/>
        <v>0.11854332676815231</v>
      </c>
      <c r="AJ41" s="193">
        <f t="shared" si="35"/>
        <v>-2.4681630598207618</v>
      </c>
      <c r="AK41" s="193">
        <f t="shared" si="35"/>
        <v>8.4273650728127439E-2</v>
      </c>
      <c r="AL41" s="193">
        <f t="shared" si="35"/>
        <v>-2.6104477767217857</v>
      </c>
      <c r="AM41" s="193">
        <f t="shared" si="35"/>
        <v>0.18836552689354294</v>
      </c>
      <c r="AN41" s="193">
        <f t="shared" si="35"/>
        <v>-2.3395897083663093</v>
      </c>
      <c r="AO41" s="193">
        <f t="shared" si="35"/>
        <v>0.14942014431405287</v>
      </c>
      <c r="AP41" s="193">
        <f t="shared" si="35"/>
        <v>-2.3434050361764842</v>
      </c>
      <c r="AQ41" s="193">
        <f t="shared" si="35"/>
        <v>0.24995403071643899</v>
      </c>
      <c r="AR41" s="193">
        <f t="shared" si="35"/>
        <v>-2.4059503416757764</v>
      </c>
      <c r="AS41" s="193">
        <f t="shared" si="35"/>
        <v>0.14984106322359339</v>
      </c>
      <c r="AT41" s="166"/>
      <c r="AU41" s="85"/>
      <c r="AV41" s="145">
        <f>B41*HRT!E41</f>
        <v>564.40923545604369</v>
      </c>
      <c r="AW41" s="145">
        <f>C41*HRT!E41</f>
        <v>52.449335209883728</v>
      </c>
      <c r="AX41" s="145">
        <f>D41*HRT!E41</f>
        <v>270.63695684317645</v>
      </c>
      <c r="AY41" s="145">
        <f>E41*HRT!E41</f>
        <v>0</v>
      </c>
      <c r="AZ41" s="145">
        <f>F41*HRT!E41</f>
        <v>10.007459953997635</v>
      </c>
      <c r="BA41" s="99">
        <f>H41*HRT!E41</f>
        <v>0</v>
      </c>
      <c r="BB41" s="99">
        <f>I41*HRT!E41</f>
        <v>211.53338884263115</v>
      </c>
      <c r="BC41" s="99">
        <f>J41*HRT!E41</f>
        <v>5.0029697624190055</v>
      </c>
      <c r="BD41" s="99">
        <f>K41*HRT!E41</f>
        <v>1.500851208716377</v>
      </c>
      <c r="BE41" s="99">
        <f>L41*HRT!E41</f>
        <v>502.54817841334699</v>
      </c>
      <c r="BF41" s="99">
        <f>M41*HRT!E41</f>
        <v>3.5068050523842169</v>
      </c>
      <c r="BG41" s="99">
        <f>N41*HRT!E41</f>
        <v>10.875000000000002</v>
      </c>
      <c r="BH41" s="99">
        <f>O41*HRT!E41</f>
        <v>35.781141117100169</v>
      </c>
      <c r="BI41" s="99">
        <f>P41*HRT!E41</f>
        <v>0</v>
      </c>
      <c r="BJ41">
        <f>AVERAGE(AV39,AV43)</f>
        <v>559.67264435781453</v>
      </c>
      <c r="BK41">
        <f t="shared" ref="BK41:BN41" si="36">AVERAGE(AW39,AW43)</f>
        <v>53.466788440168983</v>
      </c>
      <c r="BL41">
        <f t="shared" si="36"/>
        <v>268.34226757531371</v>
      </c>
      <c r="BM41">
        <f t="shared" si="36"/>
        <v>0</v>
      </c>
      <c r="BN41">
        <f t="shared" si="36"/>
        <v>10.240647602390105</v>
      </c>
    </row>
    <row r="42" spans="1:66">
      <c r="A42" s="184">
        <f>Productivities!A42</f>
        <v>84.15763888888614</v>
      </c>
      <c r="B42" s="143">
        <f>Productivities!B42-Productivities!P42</f>
        <v>177.52494242215161</v>
      </c>
      <c r="C42" s="143">
        <f>Productivities!C42-Productivities!Q42</f>
        <v>17.38275674717335</v>
      </c>
      <c r="D42" s="143">
        <f>Productivities!D42-Productivities!R42</f>
        <v>84.713598282167823</v>
      </c>
      <c r="E42" s="143">
        <f>Productivities!E42</f>
        <v>0</v>
      </c>
      <c r="F42" s="143">
        <f>Productivities!F42</f>
        <v>3.3483191070342944</v>
      </c>
      <c r="G42" s="143">
        <f t="shared" si="14"/>
        <v>282.96961655852704</v>
      </c>
      <c r="H42" s="144">
        <f>Productivities!I42</f>
        <v>0</v>
      </c>
      <c r="I42" s="144">
        <f>Productivities!J42</f>
        <v>70.893972465107652</v>
      </c>
      <c r="J42" s="144">
        <f>Productivities!K42</f>
        <v>1.8851827840387776</v>
      </c>
      <c r="K42" s="144">
        <f>Productivities!L42</f>
        <v>0.58435200519390529</v>
      </c>
      <c r="L42" s="144">
        <f>Productivities!M42</f>
        <v>163.4955399795158</v>
      </c>
      <c r="M42" s="144">
        <f>Productivities!N42</f>
        <v>1.2982410666591073</v>
      </c>
      <c r="N42" s="144">
        <f>Productivities!O42</f>
        <v>4.3741211513187617</v>
      </c>
      <c r="O42" s="144">
        <f>Productivities!U42-Productivities!G42</f>
        <v>11.145455749662545</v>
      </c>
      <c r="P42" s="144">
        <f>Productivities!H42</f>
        <v>0</v>
      </c>
      <c r="Q42" s="144">
        <f t="shared" si="15"/>
        <v>253.67686520149655</v>
      </c>
      <c r="R42" s="144">
        <f t="shared" si="16"/>
        <v>242.53140945183401</v>
      </c>
      <c r="S42" s="119">
        <f t="shared" si="1"/>
        <v>-177.52494242215161</v>
      </c>
      <c r="T42" s="166">
        <f t="shared" si="2"/>
        <v>-17.38275674717335</v>
      </c>
      <c r="U42" s="119">
        <f t="shared" si="3"/>
        <v>-84.713598282167823</v>
      </c>
      <c r="V42" s="166">
        <f t="shared" si="4"/>
        <v>-3.3483191070342944</v>
      </c>
      <c r="W42" s="119">
        <f t="shared" si="5"/>
        <v>70.893972465107652</v>
      </c>
      <c r="X42" s="119">
        <f t="shared" si="6"/>
        <v>1.8851827840387776</v>
      </c>
      <c r="Y42" s="119">
        <f t="shared" si="7"/>
        <v>0.58435200519390529</v>
      </c>
      <c r="Z42" s="119">
        <f t="shared" si="8"/>
        <v>163.4955399795158</v>
      </c>
      <c r="AA42" s="119">
        <f t="shared" si="9"/>
        <v>1.2982410666591073</v>
      </c>
      <c r="AB42" s="119">
        <f t="shared" si="10"/>
        <v>4.3741211513187617</v>
      </c>
      <c r="AC42" s="119">
        <f t="shared" si="11"/>
        <v>0</v>
      </c>
      <c r="AD42" s="119">
        <f t="shared" si="12"/>
        <v>0</v>
      </c>
      <c r="AE42" s="166">
        <f t="shared" si="13"/>
        <v>11.145455749662545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85">
        <v>84.16</v>
      </c>
      <c r="AV42" s="145">
        <f>B42*HRT!E42</f>
        <v>546.62254134035584</v>
      </c>
      <c r="AW42" s="145">
        <f>C42*HRT!E42</f>
        <v>53.523783976484616</v>
      </c>
      <c r="AX42" s="145">
        <f>D42*HRT!E42</f>
        <v>260.84426079670959</v>
      </c>
      <c r="AY42" s="145">
        <f>E42*HRT!E42</f>
        <v>0</v>
      </c>
      <c r="AZ42" s="145">
        <f>F42*HRT!E42</f>
        <v>10.309912931295088</v>
      </c>
      <c r="BA42" s="99">
        <f>H42*HRT!E42</f>
        <v>0</v>
      </c>
      <c r="BB42" s="99">
        <f>I42*HRT!E42</f>
        <v>218.29182348043301</v>
      </c>
      <c r="BC42" s="99">
        <f>J42*HRT!E42</f>
        <v>5.8047246220302373</v>
      </c>
      <c r="BD42" s="99">
        <f>K42*HRT!E42</f>
        <v>1.799296334127795</v>
      </c>
      <c r="BE42" s="99">
        <f>L42*HRT!E42</f>
        <v>503.42417432754513</v>
      </c>
      <c r="BF42" s="99">
        <f>M42*HRT!E42</f>
        <v>3.9974542250073442</v>
      </c>
      <c r="BG42" s="99">
        <f>N42*HRT!E42</f>
        <v>13.46849173553719</v>
      </c>
      <c r="BH42" s="99">
        <f>O42*HRT!E42</f>
        <v>34.318317545426872</v>
      </c>
      <c r="BI42" s="99">
        <f>P42*HRT!E42</f>
        <v>0</v>
      </c>
      <c r="BJ42">
        <f>STDEVA(AV39,AV43)</f>
        <v>19.650997049097413</v>
      </c>
      <c r="BK42">
        <f t="shared" ref="BK42:BN42" si="37">STDEVA(AW39,AW43)</f>
        <v>7.75391692219463E-2</v>
      </c>
      <c r="BL42">
        <f t="shared" si="37"/>
        <v>10.861066953815206</v>
      </c>
      <c r="BM42">
        <f t="shared" si="37"/>
        <v>0</v>
      </c>
      <c r="BN42">
        <f t="shared" si="37"/>
        <v>0.11236517459483433</v>
      </c>
    </row>
    <row r="43" spans="1:66">
      <c r="A43" s="184">
        <f>Productivities!A43</f>
        <v>86.27986111111386</v>
      </c>
      <c r="B43" s="143">
        <f>Productivities!B43-Productivities!P43</f>
        <v>192.25805266753329</v>
      </c>
      <c r="C43" s="143">
        <f>Productivities!C43-Productivities!Q43</f>
        <v>18.853774261514772</v>
      </c>
      <c r="D43" s="143">
        <f>Productivities!D43-Productivities!R43</f>
        <v>91.822128654454232</v>
      </c>
      <c r="E43" s="143">
        <f>Productivities!E43</f>
        <v>0</v>
      </c>
      <c r="F43" s="143">
        <f>Productivities!F43</f>
        <v>3.6354071593361006</v>
      </c>
      <c r="G43" s="143">
        <f t="shared" si="14"/>
        <v>306.56936274283839</v>
      </c>
      <c r="H43" s="144">
        <f>Productivities!I43</f>
        <v>0</v>
      </c>
      <c r="I43" s="144">
        <f>Productivities!J43</f>
        <v>75.518973281232206</v>
      </c>
      <c r="J43" s="144">
        <f>Productivities!K43</f>
        <v>0.86723298994494569</v>
      </c>
      <c r="K43" s="144">
        <f>Productivities!L43</f>
        <v>0.64335976982436638</v>
      </c>
      <c r="L43" s="144">
        <f>Productivities!M43</f>
        <v>195.13816662961727</v>
      </c>
      <c r="M43" s="144">
        <f>Productivities!N43</f>
        <v>1.5957454645331599</v>
      </c>
      <c r="N43" s="144">
        <f>Productivities!O43</f>
        <v>6.6937745824325798</v>
      </c>
      <c r="O43" s="144">
        <f>Productivities!U43-Productivities!G43</f>
        <v>14.604320137357831</v>
      </c>
      <c r="P43" s="144">
        <f>Productivities!H43</f>
        <v>0</v>
      </c>
      <c r="Q43" s="144">
        <f t="shared" si="15"/>
        <v>295.06157285494237</v>
      </c>
      <c r="R43" s="144">
        <f t="shared" si="16"/>
        <v>280.45725271758454</v>
      </c>
      <c r="S43" s="119">
        <f t="shared" si="1"/>
        <v>-192.25805266753329</v>
      </c>
      <c r="T43" s="166">
        <f t="shared" si="2"/>
        <v>-18.853774261514772</v>
      </c>
      <c r="U43" s="119">
        <f t="shared" si="3"/>
        <v>-91.822128654454232</v>
      </c>
      <c r="V43" s="166">
        <f t="shared" si="4"/>
        <v>-3.6354071593361006</v>
      </c>
      <c r="W43" s="119">
        <f t="shared" si="5"/>
        <v>75.518973281232206</v>
      </c>
      <c r="X43" s="119">
        <f t="shared" si="6"/>
        <v>0.86723298994494569</v>
      </c>
      <c r="Y43" s="119">
        <f t="shared" si="7"/>
        <v>0.64335976982436638</v>
      </c>
      <c r="Z43" s="119">
        <f t="shared" si="8"/>
        <v>195.13816662961727</v>
      </c>
      <c r="AA43" s="119">
        <f t="shared" si="9"/>
        <v>1.5957454645331599</v>
      </c>
      <c r="AB43" s="119">
        <f t="shared" si="10"/>
        <v>6.6937745824325798</v>
      </c>
      <c r="AC43" s="119">
        <f t="shared" si="11"/>
        <v>0</v>
      </c>
      <c r="AD43" s="119">
        <f t="shared" si="12"/>
        <v>0</v>
      </c>
      <c r="AE43" s="166">
        <f t="shared" si="13"/>
        <v>14.604320137357831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85"/>
      <c r="AV43" s="145">
        <f>B43*HRT!E43</f>
        <v>545.77729108732092</v>
      </c>
      <c r="AW43" s="145">
        <f>C43*HRT!E43</f>
        <v>53.521616912533396</v>
      </c>
      <c r="AX43" s="145">
        <f>D43*HRT!E43</f>
        <v>260.66233348134989</v>
      </c>
      <c r="AY43" s="145">
        <f>E43*HRT!E43</f>
        <v>0</v>
      </c>
      <c r="AZ43" s="145">
        <f>F43*HRT!E43</f>
        <v>10.320101779315323</v>
      </c>
      <c r="BA43" s="99">
        <f>H43*HRT!E43</f>
        <v>0</v>
      </c>
      <c r="BB43" s="99">
        <f>I43*HRT!E43</f>
        <v>214.38134887593674</v>
      </c>
      <c r="BC43" s="99">
        <f>J43*HRT!E43</f>
        <v>2.4618790496760261</v>
      </c>
      <c r="BD43" s="99">
        <f>K43*HRT!E43</f>
        <v>1.82635342185904</v>
      </c>
      <c r="BE43" s="99">
        <f>L43*HRT!E43</f>
        <v>553.95328566564535</v>
      </c>
      <c r="BF43" s="99">
        <f>M43*HRT!E43</f>
        <v>4.5299618133751096</v>
      </c>
      <c r="BG43" s="99">
        <f>N43*HRT!E43</f>
        <v>19.002117768595042</v>
      </c>
      <c r="BH43" s="99">
        <f>O43*HRT!E43</f>
        <v>41.45837415987301</v>
      </c>
      <c r="BI43" s="99">
        <f>P43*HRT!E43</f>
        <v>0</v>
      </c>
    </row>
    <row r="44" spans="1:66">
      <c r="A44" s="184">
        <f>Productivities!A44</f>
        <v>89.148611111115315</v>
      </c>
      <c r="B44" s="143">
        <f>Productivities!B44-Productivities!P44</f>
        <v>166.52357727946864</v>
      </c>
      <c r="C44" s="143">
        <f>Productivities!C44-Productivities!Q44</f>
        <v>16.311718070029983</v>
      </c>
      <c r="D44" s="143">
        <f>Productivities!D44-Productivities!R44</f>
        <v>79.529164709468873</v>
      </c>
      <c r="E44" s="143">
        <f>Productivities!E44</f>
        <v>0</v>
      </c>
      <c r="F44" s="143">
        <f>Productivities!F44</f>
        <v>3.15148574579309</v>
      </c>
      <c r="G44" s="143">
        <f t="shared" si="14"/>
        <v>265.51594580476058</v>
      </c>
      <c r="H44" s="144">
        <f>Productivities!I44</f>
        <v>0</v>
      </c>
      <c r="I44" s="144">
        <f>Productivities!J44</f>
        <v>61.350971760607486</v>
      </c>
      <c r="J44" s="144">
        <f>Productivities!K44</f>
        <v>1.6953154358977105</v>
      </c>
      <c r="K44" s="144">
        <f>Productivities!L44</f>
        <v>0.5933836624840968</v>
      </c>
      <c r="L44" s="144">
        <f>Productivities!M44</f>
        <v>160.91901000792504</v>
      </c>
      <c r="M44" s="144">
        <f>Productivities!N44</f>
        <v>1.2753409059172518</v>
      </c>
      <c r="N44" s="144">
        <f>Productivities!O44</f>
        <v>7.7523354558656692</v>
      </c>
      <c r="O44" s="144">
        <f>Productivities!U44-Productivities!G44</f>
        <v>17.445417529803052</v>
      </c>
      <c r="P44" s="144">
        <f>Productivities!H44</f>
        <v>0.32539378009164088</v>
      </c>
      <c r="Q44" s="144">
        <f t="shared" si="15"/>
        <v>251.35716853859196</v>
      </c>
      <c r="R44" s="144">
        <f t="shared" si="16"/>
        <v>233.58635722869727</v>
      </c>
      <c r="S44" s="119">
        <f t="shared" si="1"/>
        <v>-166.52357727946864</v>
      </c>
      <c r="T44" s="166">
        <f t="shared" si="2"/>
        <v>-16.311718070029983</v>
      </c>
      <c r="U44" s="119">
        <f t="shared" si="3"/>
        <v>-79.529164709468873</v>
      </c>
      <c r="V44" s="166">
        <f t="shared" si="4"/>
        <v>-3.15148574579309</v>
      </c>
      <c r="W44" s="119">
        <f t="shared" si="5"/>
        <v>61.350971760607486</v>
      </c>
      <c r="X44" s="119">
        <f t="shared" si="6"/>
        <v>1.6953154358977105</v>
      </c>
      <c r="Y44" s="119">
        <f t="shared" si="7"/>
        <v>0.5933836624840968</v>
      </c>
      <c r="Z44" s="119">
        <f t="shared" si="8"/>
        <v>160.91901000792504</v>
      </c>
      <c r="AA44" s="119">
        <f t="shared" si="9"/>
        <v>1.2753409059172518</v>
      </c>
      <c r="AB44" s="119">
        <f t="shared" si="10"/>
        <v>7.7523354558656692</v>
      </c>
      <c r="AC44" s="119">
        <f t="shared" si="11"/>
        <v>0.32539378009164088</v>
      </c>
      <c r="AD44" s="119">
        <f t="shared" si="12"/>
        <v>0</v>
      </c>
      <c r="AE44" s="166">
        <f t="shared" si="13"/>
        <v>17.445417529803052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85"/>
      <c r="AV44" s="145">
        <f>B44*HRT!E44</f>
        <v>510.11607094702765</v>
      </c>
      <c r="AW44" s="145">
        <f>C44*HRT!E44</f>
        <v>49.968116636809974</v>
      </c>
      <c r="AX44" s="145">
        <f>D44*HRT!E44</f>
        <v>243.62379003669892</v>
      </c>
      <c r="AY44" s="145">
        <f>E44*HRT!E44</f>
        <v>0</v>
      </c>
      <c r="AZ44" s="145">
        <f>F44*HRT!E44</f>
        <v>9.654029492721838</v>
      </c>
      <c r="BA44" s="99">
        <f>H44*HRT!E44</f>
        <v>0</v>
      </c>
      <c r="BB44" s="99">
        <f>I44*HRT!E44</f>
        <v>187.93805162364694</v>
      </c>
      <c r="BC44" s="99">
        <f>J44*HRT!E44</f>
        <v>5.1933045356371483</v>
      </c>
      <c r="BD44" s="99">
        <f>K44*HRT!E44</f>
        <v>1.8177278401997496</v>
      </c>
      <c r="BE44" s="99">
        <f>L44*HRT!E44</f>
        <v>492.94745204857566</v>
      </c>
      <c r="BF44" s="99">
        <f>M44*HRT!E44</f>
        <v>3.9067854694996575</v>
      </c>
      <c r="BG44" s="99">
        <f>N44*HRT!E44</f>
        <v>23.74793388429752</v>
      </c>
      <c r="BH44" s="99">
        <f>O44*HRT!E44</f>
        <v>53.441008124623991</v>
      </c>
      <c r="BI44" s="99">
        <f>P44*HRT!E44</f>
        <v>0.99678735781887629</v>
      </c>
    </row>
    <row r="45" spans="1:66">
      <c r="A45" s="184">
        <f>Productivities!A45</f>
        <v>91.1875</v>
      </c>
      <c r="B45" s="143">
        <f>Productivities!B45-Productivities!P45</f>
        <v>192.90833969360295</v>
      </c>
      <c r="C45" s="143">
        <f>Productivities!C45-Productivities!Q45</f>
        <v>18.901532804407257</v>
      </c>
      <c r="D45" s="143">
        <f>Productivities!D45-Productivities!R45</f>
        <v>92.1349959589744</v>
      </c>
      <c r="E45" s="143">
        <f>Productivities!E45</f>
        <v>0</v>
      </c>
      <c r="F45" s="143">
        <f>Productivities!F45</f>
        <v>3.6498091240595136</v>
      </c>
      <c r="G45" s="143">
        <f t="shared" si="14"/>
        <v>307.59467758104415</v>
      </c>
      <c r="H45" s="144">
        <f>Productivities!I45</f>
        <v>0</v>
      </c>
      <c r="I45" s="144">
        <f>Productivities!J45</f>
        <v>69.514009315722774</v>
      </c>
      <c r="J45" s="144">
        <f>Productivities!K45</f>
        <v>1.9163245272842759</v>
      </c>
      <c r="K45" s="144">
        <f>Productivities!L45</f>
        <v>0.63633947780911781</v>
      </c>
      <c r="L45" s="144">
        <f>Productivities!M45</f>
        <v>190.38511654872497</v>
      </c>
      <c r="M45" s="144">
        <f>Productivities!N45</f>
        <v>1.4343789544316641</v>
      </c>
      <c r="N45" s="144">
        <f>Productivities!O45</f>
        <v>10.125349607064813</v>
      </c>
      <c r="O45" s="144">
        <f>Productivities!U45-Productivities!G45</f>
        <v>11.862462064833068</v>
      </c>
      <c r="P45" s="144">
        <f>Productivities!H45</f>
        <v>0</v>
      </c>
      <c r="Q45" s="144">
        <f t="shared" si="15"/>
        <v>285.87398049587068</v>
      </c>
      <c r="R45" s="144">
        <f t="shared" si="16"/>
        <v>274.01151843103764</v>
      </c>
      <c r="S45" s="119">
        <f t="shared" si="1"/>
        <v>-192.90833969360295</v>
      </c>
      <c r="T45" s="166">
        <f t="shared" si="2"/>
        <v>-18.901532804407257</v>
      </c>
      <c r="U45" s="119">
        <f t="shared" si="3"/>
        <v>-92.1349959589744</v>
      </c>
      <c r="V45" s="166">
        <f t="shared" si="4"/>
        <v>-3.6498091240595136</v>
      </c>
      <c r="W45" s="119">
        <f t="shared" si="5"/>
        <v>69.514009315722774</v>
      </c>
      <c r="X45" s="119">
        <f t="shared" si="6"/>
        <v>1.9163245272842759</v>
      </c>
      <c r="Y45" s="119">
        <f t="shared" si="7"/>
        <v>0.63633947780911781</v>
      </c>
      <c r="Z45" s="119">
        <f t="shared" si="8"/>
        <v>190.38511654872497</v>
      </c>
      <c r="AA45" s="119">
        <f t="shared" si="9"/>
        <v>1.4343789544316641</v>
      </c>
      <c r="AB45" s="119">
        <f t="shared" si="10"/>
        <v>10.125349607064813</v>
      </c>
      <c r="AC45" s="119">
        <f t="shared" si="11"/>
        <v>0</v>
      </c>
      <c r="AD45" s="119">
        <f t="shared" si="12"/>
        <v>0</v>
      </c>
      <c r="AE45" s="166">
        <f t="shared" si="13"/>
        <v>11.862462064833068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85"/>
      <c r="AV45" s="145">
        <f>B45*HRT!E45</f>
        <v>494.21091307292198</v>
      </c>
      <c r="AW45" s="145">
        <f>C45*HRT!E45</f>
        <v>48.423742594958775</v>
      </c>
      <c r="AX45" s="145">
        <f>D45*HRT!E45</f>
        <v>236.0401865008881</v>
      </c>
      <c r="AY45" s="145">
        <f>E45*HRT!E45</f>
        <v>0</v>
      </c>
      <c r="AZ45" s="145">
        <f>F45*HRT!E45</f>
        <v>9.3504277866279768</v>
      </c>
      <c r="BA45" s="99">
        <f>H45*HRT!E45</f>
        <v>0</v>
      </c>
      <c r="BB45" s="99">
        <f>I45*HRT!E45</f>
        <v>178.08759367194011</v>
      </c>
      <c r="BC45" s="99">
        <f>J45*HRT!E45</f>
        <v>4.9094222462203039</v>
      </c>
      <c r="BD45" s="99">
        <f>K45*HRT!E45</f>
        <v>1.63023493360572</v>
      </c>
      <c r="BE45" s="99">
        <f>L45*HRT!E45</f>
        <v>487.74668028600621</v>
      </c>
      <c r="BF45" s="99">
        <f>M45*HRT!E45</f>
        <v>3.6747282874767455</v>
      </c>
      <c r="BG45" s="99">
        <f>N45*HRT!E45</f>
        <v>25.940082644628106</v>
      </c>
      <c r="BH45" s="99">
        <f>O45*HRT!E45</f>
        <v>30.390382384014984</v>
      </c>
      <c r="BI45" s="99">
        <f>P45*HRT!E45</f>
        <v>0</v>
      </c>
    </row>
    <row r="46" spans="1:66" s="172" customFormat="1">
      <c r="A46" s="185">
        <f>Productivities!A46</f>
        <v>93.170833333337214</v>
      </c>
      <c r="B46" s="177">
        <f>Productivities!B46-Productivities!P46</f>
        <v>193.22454397048898</v>
      </c>
      <c r="C46" s="177">
        <f>Productivities!C46-Productivities!Q46</f>
        <v>18.016056911287762</v>
      </c>
      <c r="D46" s="177">
        <f>Productivities!D46-Productivities!R46</f>
        <v>89.598988387364443</v>
      </c>
      <c r="E46" s="177">
        <f>Productivities!E46</f>
        <v>0</v>
      </c>
      <c r="F46" s="177">
        <f>Productivities!F46</f>
        <v>3.5138750472032352</v>
      </c>
      <c r="G46" s="177">
        <f t="shared" si="14"/>
        <v>304.3534643163444</v>
      </c>
      <c r="H46" s="178">
        <f>Productivities!I46</f>
        <v>0</v>
      </c>
      <c r="I46" s="178">
        <f>Productivities!J46</f>
        <v>69.228058186669656</v>
      </c>
      <c r="J46" s="178">
        <f>Productivities!K46</f>
        <v>2.7366112492459664</v>
      </c>
      <c r="K46" s="178">
        <f>Productivities!L46</f>
        <v>0.82913623058867314</v>
      </c>
      <c r="L46" s="178">
        <f>Productivities!M46</f>
        <v>185.94761864668644</v>
      </c>
      <c r="M46" s="178">
        <f>Productivities!N46</f>
        <v>1.5274970851916099</v>
      </c>
      <c r="N46" s="178">
        <f>Productivities!O46</f>
        <v>12.350390478481287</v>
      </c>
      <c r="O46" s="178">
        <f>Productivities!U46-Productivities!G46</f>
        <v>15.993201958496115</v>
      </c>
      <c r="P46" s="178">
        <f>Productivities!H46</f>
        <v>0</v>
      </c>
      <c r="Q46" s="178">
        <f t="shared" si="15"/>
        <v>288.61251383535978</v>
      </c>
      <c r="R46" s="178">
        <f t="shared" si="16"/>
        <v>272.61931187686366</v>
      </c>
      <c r="S46" s="170">
        <f t="shared" si="1"/>
        <v>-193.22454397048898</v>
      </c>
      <c r="T46" s="171">
        <f t="shared" si="2"/>
        <v>-18.016056911287762</v>
      </c>
      <c r="U46" s="170">
        <f t="shared" si="3"/>
        <v>-89.598988387364443</v>
      </c>
      <c r="V46" s="171">
        <f t="shared" si="4"/>
        <v>-3.5138750472032352</v>
      </c>
      <c r="W46" s="170">
        <f t="shared" si="5"/>
        <v>69.228058186669656</v>
      </c>
      <c r="X46" s="170">
        <f t="shared" si="6"/>
        <v>2.7366112492459664</v>
      </c>
      <c r="Y46" s="170">
        <f t="shared" si="7"/>
        <v>0.82913623058867314</v>
      </c>
      <c r="Z46" s="170">
        <f t="shared" si="8"/>
        <v>185.94761864668644</v>
      </c>
      <c r="AA46" s="170">
        <f t="shared" si="9"/>
        <v>1.5274970851916099</v>
      </c>
      <c r="AB46" s="170">
        <f t="shared" si="10"/>
        <v>12.350390478481287</v>
      </c>
      <c r="AC46" s="170">
        <f t="shared" si="11"/>
        <v>0</v>
      </c>
      <c r="AD46" s="170">
        <f t="shared" si="12"/>
        <v>0</v>
      </c>
      <c r="AE46" s="171">
        <f t="shared" si="13"/>
        <v>15.993201958496115</v>
      </c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9">
        <v>95.15</v>
      </c>
      <c r="AV46" s="173">
        <f>B46*HRT!E46</f>
        <v>533.2142222478376</v>
      </c>
      <c r="AW46" s="173">
        <f>C46*HRT!E46</f>
        <v>49.716343361598319</v>
      </c>
      <c r="AX46" s="173">
        <f>D46*HRT!E46</f>
        <v>247.25355239786859</v>
      </c>
      <c r="AY46" s="173">
        <f>E46*HRT!E46</f>
        <v>0</v>
      </c>
      <c r="AZ46" s="173">
        <f>F46*HRT!E46</f>
        <v>9.6967399268734571</v>
      </c>
      <c r="BA46" s="174">
        <f>H46*HRT!E46</f>
        <v>0</v>
      </c>
      <c r="BB46" s="174">
        <f>I46*HRT!E46</f>
        <v>191.03880099916734</v>
      </c>
      <c r="BC46" s="174">
        <f>J46*HRT!E46</f>
        <v>7.5518358531317507</v>
      </c>
      <c r="BD46" s="174">
        <f>K46*HRT!E46</f>
        <v>2.2880490296220635</v>
      </c>
      <c r="BE46" s="174">
        <f>L46*HRT!E46</f>
        <v>513.13312904324141</v>
      </c>
      <c r="BF46" s="174">
        <f>M46*HRT!E46</f>
        <v>4.215215901302261</v>
      </c>
      <c r="BG46" s="174">
        <f>N46*HRT!E46</f>
        <v>34.081611570247937</v>
      </c>
      <c r="BH46" s="174">
        <f>O46*HRT!E46</f>
        <v>44.134158985799147</v>
      </c>
      <c r="BI46" s="174">
        <f>P46*HRT!E46</f>
        <v>0</v>
      </c>
    </row>
    <row r="47" spans="1:66">
      <c r="A47" s="186">
        <f>Productivities!A47</f>
        <v>96.150694444448163</v>
      </c>
      <c r="B47" s="143">
        <f>Productivities!B47-Productivities!P47</f>
        <v>204.8314348022119</v>
      </c>
      <c r="C47" s="143">
        <f>Productivities!C47-Productivities!Q47</f>
        <v>19.100687721286505</v>
      </c>
      <c r="D47" s="143">
        <f>Productivities!D47-Productivities!R47</f>
        <v>94.92271286673639</v>
      </c>
      <c r="E47" s="143">
        <f>Productivities!E47</f>
        <v>0</v>
      </c>
      <c r="F47" s="143">
        <f>Productivities!F47</f>
        <v>3.7231452444332165</v>
      </c>
      <c r="G47" s="143">
        <f t="shared" si="14"/>
        <v>322.57798063466805</v>
      </c>
      <c r="H47" s="144">
        <f>Productivities!I47</f>
        <v>0</v>
      </c>
      <c r="I47" s="144">
        <f>Productivities!J47</f>
        <v>70.041633137555891</v>
      </c>
      <c r="J47" s="144">
        <f>Productivities!K47</f>
        <v>2.123546174385242</v>
      </c>
      <c r="K47" s="144">
        <f>Productivities!L47</f>
        <v>0.89147945006762142</v>
      </c>
      <c r="L47" s="144">
        <f>Productivities!M47</f>
        <v>188.55770016677522</v>
      </c>
      <c r="M47" s="144">
        <f>Productivities!N47</f>
        <v>1.5582740802170736</v>
      </c>
      <c r="N47" s="144">
        <f>Productivities!O47</f>
        <v>14.913717577056888</v>
      </c>
      <c r="O47" s="144">
        <f>Productivities!U47-Productivities!G47</f>
        <v>18.442255529872511</v>
      </c>
      <c r="P47" s="144">
        <f>Productivities!H47</f>
        <v>0</v>
      </c>
      <c r="Q47" s="144">
        <f t="shared" si="15"/>
        <v>296.52860611593047</v>
      </c>
      <c r="R47" s="144">
        <f t="shared" si="16"/>
        <v>278.08635058605796</v>
      </c>
      <c r="S47" s="119">
        <f t="shared" si="1"/>
        <v>-204.8314348022119</v>
      </c>
      <c r="T47" s="166">
        <f t="shared" si="2"/>
        <v>-19.100687721286505</v>
      </c>
      <c r="U47" s="119">
        <f t="shared" si="3"/>
        <v>-94.92271286673639</v>
      </c>
      <c r="V47" s="166">
        <f t="shared" si="4"/>
        <v>-3.7231452444332165</v>
      </c>
      <c r="W47" s="119">
        <f t="shared" si="5"/>
        <v>70.041633137555891</v>
      </c>
      <c r="X47" s="119">
        <f t="shared" si="6"/>
        <v>2.123546174385242</v>
      </c>
      <c r="Y47" s="119">
        <f t="shared" si="7"/>
        <v>0.89147945006762142</v>
      </c>
      <c r="Z47" s="119">
        <f t="shared" si="8"/>
        <v>188.55770016677522</v>
      </c>
      <c r="AA47" s="119">
        <f t="shared" si="9"/>
        <v>1.5582740802170736</v>
      </c>
      <c r="AB47" s="119">
        <f t="shared" si="10"/>
        <v>14.913717577056888</v>
      </c>
      <c r="AC47" s="119">
        <f t="shared" si="11"/>
        <v>0</v>
      </c>
      <c r="AD47" s="119">
        <f t="shared" si="12"/>
        <v>0</v>
      </c>
      <c r="AE47" s="166">
        <f t="shared" si="13"/>
        <v>18.442255529872511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46"/>
      <c r="AV47" s="145">
        <f>B47*HRT!E47</f>
        <v>550.54072016997623</v>
      </c>
      <c r="AW47" s="145">
        <f>C47*HRT!E47</f>
        <v>51.338342593620979</v>
      </c>
      <c r="AX47" s="145">
        <f>D47*HRT!E47</f>
        <v>255.13085309685383</v>
      </c>
      <c r="AY47" s="145">
        <f>E47*HRT!E47</f>
        <v>0</v>
      </c>
      <c r="AZ47" s="145">
        <f>F47*HRT!E47</f>
        <v>10.006975082447406</v>
      </c>
      <c r="BA47" s="99">
        <f>H47*HRT!E47</f>
        <v>0</v>
      </c>
      <c r="BB47" s="99">
        <f>I47*HRT!E47</f>
        <v>188.25611990008326</v>
      </c>
      <c r="BC47" s="99">
        <f>J47*HRT!E47</f>
        <v>5.7076133909287261</v>
      </c>
      <c r="BD47" s="99">
        <f>K47*HRT!E47</f>
        <v>2.3960957893542165</v>
      </c>
      <c r="BE47" s="99">
        <f>L47*HRT!E47</f>
        <v>506.80059017137677</v>
      </c>
      <c r="BF47" s="99">
        <f>M47*HRT!E47</f>
        <v>4.1882894350337816</v>
      </c>
      <c r="BG47" s="99">
        <f>N47*HRT!E47</f>
        <v>40.084710743801651</v>
      </c>
      <c r="BH47" s="99">
        <f>O47*HRT!E47</f>
        <v>49.568625298059466</v>
      </c>
      <c r="BI47" s="99">
        <f>P47*HRT!E47</f>
        <v>0</v>
      </c>
    </row>
    <row r="48" spans="1:66">
      <c r="A48" s="186">
        <f>Productivities!A48</f>
        <v>98.159722222226264</v>
      </c>
      <c r="B48" s="143">
        <f>Productivities!B48-Productivities!P48</f>
        <v>168.69435537078121</v>
      </c>
      <c r="C48" s="143">
        <f>Productivities!C48-Productivities!Q48</f>
        <v>15.832473109012019</v>
      </c>
      <c r="D48" s="143">
        <f>Productivities!D48-Productivities!R48</f>
        <v>78.330974858760271</v>
      </c>
      <c r="E48" s="143">
        <f>Productivities!E48</f>
        <v>0</v>
      </c>
      <c r="F48" s="143">
        <f>Productivities!F48</f>
        <v>3.0759125876172426</v>
      </c>
      <c r="G48" s="143">
        <f t="shared" si="14"/>
        <v>265.93371592617075</v>
      </c>
      <c r="H48" s="144">
        <f>Productivities!I48</f>
        <v>0</v>
      </c>
      <c r="I48" s="144">
        <f>Productivities!J48</f>
        <v>59.453318257359221</v>
      </c>
      <c r="J48" s="144">
        <f>Productivities!K48</f>
        <v>1.7013266102207192</v>
      </c>
      <c r="K48" s="144">
        <f>Productivities!L48</f>
        <v>0.81450252043682247</v>
      </c>
      <c r="L48" s="144">
        <f>Productivities!M48</f>
        <v>148.80799760752936</v>
      </c>
      <c r="M48" s="144">
        <f>Productivities!N48</f>
        <v>1.1349153050394591</v>
      </c>
      <c r="N48" s="144">
        <f>Productivities!O48</f>
        <v>12.175921474746154</v>
      </c>
      <c r="O48" s="144">
        <f>Productivities!U48-Productivities!G48</f>
        <v>11.940069476688279</v>
      </c>
      <c r="P48" s="144">
        <f>Productivities!H48</f>
        <v>0</v>
      </c>
      <c r="Q48" s="144">
        <f t="shared" si="15"/>
        <v>236.02805125202002</v>
      </c>
      <c r="R48" s="144">
        <f t="shared" si="16"/>
        <v>224.08798177533174</v>
      </c>
      <c r="S48" s="119">
        <f t="shared" si="1"/>
        <v>-168.69435537078121</v>
      </c>
      <c r="T48" s="166">
        <f t="shared" si="2"/>
        <v>-15.832473109012019</v>
      </c>
      <c r="U48" s="119">
        <f t="shared" si="3"/>
        <v>-78.330974858760271</v>
      </c>
      <c r="V48" s="166">
        <f t="shared" si="4"/>
        <v>-3.0759125876172426</v>
      </c>
      <c r="W48" s="119">
        <f t="shared" si="5"/>
        <v>59.453318257359221</v>
      </c>
      <c r="X48" s="119">
        <f t="shared" si="6"/>
        <v>1.7013266102207192</v>
      </c>
      <c r="Y48" s="119">
        <f t="shared" si="7"/>
        <v>0.81450252043682247</v>
      </c>
      <c r="Z48" s="119">
        <f t="shared" si="8"/>
        <v>148.80799760752936</v>
      </c>
      <c r="AA48" s="119">
        <f t="shared" si="9"/>
        <v>1.1349153050394591</v>
      </c>
      <c r="AB48" s="119">
        <f t="shared" si="10"/>
        <v>12.175921474746154</v>
      </c>
      <c r="AC48" s="119">
        <f t="shared" si="11"/>
        <v>0</v>
      </c>
      <c r="AD48" s="119">
        <f t="shared" si="12"/>
        <v>0</v>
      </c>
      <c r="AE48" s="166">
        <f t="shared" si="13"/>
        <v>11.940069476688279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46"/>
      <c r="AV48" s="145">
        <f>B48*HRT!E48</f>
        <v>550.7979001868315</v>
      </c>
      <c r="AW48" s="145">
        <f>C48*HRT!E48</f>
        <v>51.694041119758381</v>
      </c>
      <c r="AX48" s="145">
        <f>D48*HRT!E48</f>
        <v>255.75566163410303</v>
      </c>
      <c r="AY48" s="145">
        <f>E48*HRT!E48</f>
        <v>0</v>
      </c>
      <c r="AZ48" s="145">
        <f>F48*HRT!E48</f>
        <v>10.043052067118936</v>
      </c>
      <c r="BA48" s="99">
        <f>H48*HRT!E48</f>
        <v>0</v>
      </c>
      <c r="BB48" s="99">
        <f>I48*HRT!E48</f>
        <v>194.1189009159034</v>
      </c>
      <c r="BC48" s="99">
        <f>J48*HRT!E48</f>
        <v>5.5549406047516205</v>
      </c>
      <c r="BD48" s="99">
        <f>K48*HRT!E48</f>
        <v>2.6594030189535802</v>
      </c>
      <c r="BE48" s="99">
        <f>L48*HRT!E48</f>
        <v>485.86766541822709</v>
      </c>
      <c r="BF48" s="99">
        <f>M48*HRT!E48</f>
        <v>3.7055713306570053</v>
      </c>
      <c r="BG48" s="99">
        <f>N48*HRT!E48</f>
        <v>39.755165289256198</v>
      </c>
      <c r="BH48" s="99">
        <f>O48*HRT!E48</f>
        <v>38.98509337428537</v>
      </c>
      <c r="BI48" s="99">
        <f>P48*HRT!E48</f>
        <v>0</v>
      </c>
    </row>
    <row r="49" spans="1:70">
      <c r="A49" s="186">
        <f>Productivities!A49</f>
        <v>100.14930555555475</v>
      </c>
      <c r="B49" s="143">
        <f>Productivities!B49-Productivities!P49</f>
        <v>218.00990701071328</v>
      </c>
      <c r="C49" s="143">
        <f>Productivities!C49-Productivities!Q49</f>
        <v>20.2928721034998</v>
      </c>
      <c r="D49" s="143">
        <f>Productivities!D49-Productivities!R49</f>
        <v>101.01915989356712</v>
      </c>
      <c r="E49" s="143">
        <f>Productivities!E49</f>
        <v>0</v>
      </c>
      <c r="F49" s="143">
        <f>Productivities!F49</f>
        <v>3.9616658322126184</v>
      </c>
      <c r="G49" s="143">
        <f t="shared" si="14"/>
        <v>343.28360483999285</v>
      </c>
      <c r="H49" s="144">
        <f>Productivities!I49</f>
        <v>0</v>
      </c>
      <c r="I49" s="144">
        <f>Productivities!J49</f>
        <v>76.504824335454416</v>
      </c>
      <c r="J49" s="144">
        <f>Productivities!K49</f>
        <v>2.2367190242893149</v>
      </c>
      <c r="K49" s="144">
        <f>Productivities!L49</f>
        <v>0.9831973664679996</v>
      </c>
      <c r="L49" s="144">
        <f>Productivities!M49</f>
        <v>202.94442148491854</v>
      </c>
      <c r="M49" s="144">
        <f>Productivities!N49</f>
        <v>1.7166517921969464</v>
      </c>
      <c r="N49" s="144">
        <f>Productivities!O49</f>
        <v>12.879459874165226</v>
      </c>
      <c r="O49" s="144">
        <f>Productivities!U49-Productivities!G49</f>
        <v>12.460839749208105</v>
      </c>
      <c r="P49" s="144">
        <f>Productivities!H49</f>
        <v>0.31341176796436954</v>
      </c>
      <c r="Q49" s="144">
        <f t="shared" si="15"/>
        <v>310.03952539466491</v>
      </c>
      <c r="R49" s="144">
        <f t="shared" si="16"/>
        <v>297.2652738774924</v>
      </c>
      <c r="S49" s="119">
        <f t="shared" si="1"/>
        <v>-218.00990701071328</v>
      </c>
      <c r="T49" s="166">
        <f t="shared" si="2"/>
        <v>-20.2928721034998</v>
      </c>
      <c r="U49" s="119">
        <f t="shared" si="3"/>
        <v>-101.01915989356712</v>
      </c>
      <c r="V49" s="166">
        <f t="shared" si="4"/>
        <v>-3.9616658322126184</v>
      </c>
      <c r="W49" s="119">
        <f t="shared" si="5"/>
        <v>76.504824335454416</v>
      </c>
      <c r="X49" s="119">
        <f t="shared" si="6"/>
        <v>2.2367190242893149</v>
      </c>
      <c r="Y49" s="119">
        <f t="shared" si="7"/>
        <v>0.9831973664679996</v>
      </c>
      <c r="Z49" s="119">
        <f t="shared" si="8"/>
        <v>202.94442148491854</v>
      </c>
      <c r="AA49" s="119">
        <f t="shared" si="9"/>
        <v>1.7166517921969464</v>
      </c>
      <c r="AB49" s="119">
        <f t="shared" si="10"/>
        <v>12.879459874165226</v>
      </c>
      <c r="AC49" s="119">
        <f t="shared" si="11"/>
        <v>0.31341176796436954</v>
      </c>
      <c r="AD49" s="119">
        <f t="shared" si="12"/>
        <v>0</v>
      </c>
      <c r="AE49" s="166">
        <f t="shared" si="13"/>
        <v>12.460839749208105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46"/>
      <c r="AV49" s="145">
        <f>B49*HRT!E49</f>
        <v>551.73446690431319</v>
      </c>
      <c r="AW49" s="145">
        <f>C49*HRT!E49</f>
        <v>51.35673477183618</v>
      </c>
      <c r="AX49" s="145">
        <f>D49*HRT!E49</f>
        <v>255.65697034245287</v>
      </c>
      <c r="AY49" s="145">
        <f>E49*HRT!E49</f>
        <v>0</v>
      </c>
      <c r="AZ49" s="145">
        <f>F49*HRT!E49</f>
        <v>10.026092923756208</v>
      </c>
      <c r="BA49" s="99">
        <f>H49*HRT!E49</f>
        <v>0</v>
      </c>
      <c r="BB49" s="99">
        <f>I49*HRT!E49</f>
        <v>193.61665278934228</v>
      </c>
      <c r="BC49" s="99">
        <f>J49*HRT!E49</f>
        <v>5.6606371490280791</v>
      </c>
      <c r="BD49" s="99">
        <f>K49*HRT!E49</f>
        <v>2.4882533197139938</v>
      </c>
      <c r="BE49" s="99">
        <f>L49*HRT!E49</f>
        <v>513.60708205652031</v>
      </c>
      <c r="BF49" s="99">
        <f>M49*HRT!E49</f>
        <v>4.3444629393909731</v>
      </c>
      <c r="BG49" s="99">
        <f>N49*HRT!E49</f>
        <v>32.595041322314053</v>
      </c>
      <c r="BH49" s="99">
        <f>O49*HRT!E49</f>
        <v>31.535607122072484</v>
      </c>
      <c r="BI49" s="99">
        <f>P49*HRT!E49</f>
        <v>0.79317530606928899</v>
      </c>
    </row>
    <row r="50" spans="1:70">
      <c r="A50" s="186">
        <f>Productivities!A50</f>
        <v>103.13680555555766</v>
      </c>
      <c r="B50" s="143">
        <f>Productivities!B50-Productivities!P50</f>
        <v>186.75199380327646</v>
      </c>
      <c r="C50" s="143">
        <f>Productivities!C50-Productivities!Q50</f>
        <v>18.833245698387188</v>
      </c>
      <c r="D50" s="143">
        <f>Productivities!D50-Productivities!R50</f>
        <v>88.849194319049559</v>
      </c>
      <c r="E50" s="143">
        <f>Productivities!E50</f>
        <v>0</v>
      </c>
      <c r="F50" s="143">
        <f>Productivities!F50</f>
        <v>3.3538084825347227</v>
      </c>
      <c r="G50" s="143">
        <f t="shared" si="14"/>
        <v>297.7882423032479</v>
      </c>
      <c r="H50" s="144">
        <f>Productivities!I50</f>
        <v>0</v>
      </c>
      <c r="I50" s="144">
        <f>Productivities!J50</f>
        <v>65.701994781132996</v>
      </c>
      <c r="J50" s="144">
        <f>Productivities!K50</f>
        <v>2.1570167273626391</v>
      </c>
      <c r="K50" s="144">
        <f>Productivities!L50</f>
        <v>1.077138172186721</v>
      </c>
      <c r="L50" s="144">
        <f>Productivities!M50</f>
        <v>167.39606492248737</v>
      </c>
      <c r="M50" s="144">
        <f>Productivities!N50</f>
        <v>1.5171802940449566</v>
      </c>
      <c r="N50" s="144">
        <f>Productivities!O50</f>
        <v>9.6543379784822445</v>
      </c>
      <c r="O50" s="144">
        <f>Productivities!U50-Productivities!G50</f>
        <v>13.181803184765727</v>
      </c>
      <c r="P50" s="144">
        <f>Productivities!H50</f>
        <v>0.39941538122794251</v>
      </c>
      <c r="Q50" s="144">
        <f t="shared" si="15"/>
        <v>261.08495144169058</v>
      </c>
      <c r="R50" s="144">
        <f t="shared" si="16"/>
        <v>247.50373287569693</v>
      </c>
      <c r="S50" s="119">
        <f t="shared" si="1"/>
        <v>-186.75199380327646</v>
      </c>
      <c r="T50" s="166">
        <f t="shared" si="2"/>
        <v>-18.833245698387188</v>
      </c>
      <c r="U50" s="119">
        <f t="shared" si="3"/>
        <v>-88.849194319049559</v>
      </c>
      <c r="V50" s="166">
        <f t="shared" si="4"/>
        <v>-3.3538084825347227</v>
      </c>
      <c r="W50" s="119">
        <f t="shared" si="5"/>
        <v>65.701994781132996</v>
      </c>
      <c r="X50" s="119">
        <f t="shared" si="6"/>
        <v>2.1570167273626391</v>
      </c>
      <c r="Y50" s="119">
        <f t="shared" si="7"/>
        <v>1.077138172186721</v>
      </c>
      <c r="Z50" s="119">
        <f t="shared" si="8"/>
        <v>167.39606492248737</v>
      </c>
      <c r="AA50" s="119">
        <f t="shared" si="9"/>
        <v>1.5171802940449566</v>
      </c>
      <c r="AB50" s="119">
        <f t="shared" si="10"/>
        <v>9.6543379784822445</v>
      </c>
      <c r="AC50" s="119">
        <f t="shared" si="11"/>
        <v>0.39941538122794251</v>
      </c>
      <c r="AD50" s="119">
        <f t="shared" si="12"/>
        <v>0</v>
      </c>
      <c r="AE50" s="166">
        <f t="shared" si="13"/>
        <v>13.181803184765727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46">
        <v>103.14</v>
      </c>
      <c r="AV50" s="145">
        <f>B50*HRT!E50</f>
        <v>568.87483250003595</v>
      </c>
      <c r="AW50" s="145">
        <f>C50*HRT!E50</f>
        <v>57.368916250435596</v>
      </c>
      <c r="AX50" s="145">
        <f>D50*HRT!E50</f>
        <v>270.6480905861456</v>
      </c>
      <c r="AY50" s="145">
        <f>E50*HRT!E50</f>
        <v>0</v>
      </c>
      <c r="AZ50" s="145">
        <f>F50*HRT!E50</f>
        <v>10.216208137241678</v>
      </c>
      <c r="BA50" s="99">
        <f>H50*HRT!E50</f>
        <v>0</v>
      </c>
      <c r="BB50" s="99">
        <f>I50*HRT!E50</f>
        <v>200.13821815154043</v>
      </c>
      <c r="BC50" s="99">
        <f>J50*HRT!E50</f>
        <v>6.5705993520518371</v>
      </c>
      <c r="BD50" s="99">
        <f>K50*HRT!E50</f>
        <v>3.2811258653955284</v>
      </c>
      <c r="BE50" s="99">
        <f>L50*HRT!E50</f>
        <v>509.91374418340712</v>
      </c>
      <c r="BF50" s="99">
        <f>M50*HRT!E50</f>
        <v>4.6215607558993437</v>
      </c>
      <c r="BG50" s="99">
        <f>N50*HRT!E50</f>
        <v>29.408574380165287</v>
      </c>
      <c r="BH50" s="99">
        <f>O50*HRT!E50</f>
        <v>40.153767175740221</v>
      </c>
      <c r="BI50" s="99">
        <f>P50*HRT!E50</f>
        <v>1.2166796908917252</v>
      </c>
    </row>
    <row r="51" spans="1:70">
      <c r="A51" s="186">
        <f>Productivities!A51</f>
        <v>105.14166666667006</v>
      </c>
      <c r="B51" s="143">
        <f>Productivities!B51-Productivities!P51</f>
        <v>184.37437982186128</v>
      </c>
      <c r="C51" s="143">
        <f>Productivities!C51-Productivities!Q51</f>
        <v>18.636109870105205</v>
      </c>
      <c r="D51" s="143">
        <f>Productivities!D51-Productivities!R51</f>
        <v>87.734044165588202</v>
      </c>
      <c r="E51" s="143">
        <f>Productivities!E51</f>
        <v>0</v>
      </c>
      <c r="F51" s="143">
        <f>Productivities!F51</f>
        <v>3.3040985143055899</v>
      </c>
      <c r="G51" s="143">
        <f t="shared" si="14"/>
        <v>294.04863237186026</v>
      </c>
      <c r="H51" s="144">
        <f>Productivities!I51</f>
        <v>0</v>
      </c>
      <c r="I51" s="144">
        <f>Productivities!J51</f>
        <v>67.985226074405688</v>
      </c>
      <c r="J51" s="144">
        <f>Productivities!K51</f>
        <v>2.113454384402992</v>
      </c>
      <c r="K51" s="144">
        <f>Productivities!L51</f>
        <v>0.97454653012826753</v>
      </c>
      <c r="L51" s="144">
        <f>Productivities!M51</f>
        <v>168.44495358528144</v>
      </c>
      <c r="M51" s="144">
        <f>Productivities!N51</f>
        <v>1.569427366133912</v>
      </c>
      <c r="N51" s="144">
        <f>Productivities!O51</f>
        <v>8.4763399336383625</v>
      </c>
      <c r="O51" s="144">
        <f>Productivities!U51-Productivities!G51</f>
        <v>9.4773408250743501</v>
      </c>
      <c r="P51" s="144">
        <f>Productivities!H51</f>
        <v>0.7621382033133004</v>
      </c>
      <c r="Q51" s="144">
        <f t="shared" si="15"/>
        <v>259.80342690237836</v>
      </c>
      <c r="R51" s="144">
        <f t="shared" si="16"/>
        <v>249.56394787399066</v>
      </c>
      <c r="S51" s="119">
        <f t="shared" si="1"/>
        <v>-184.37437982186128</v>
      </c>
      <c r="T51" s="166">
        <f t="shared" si="2"/>
        <v>-18.636109870105205</v>
      </c>
      <c r="U51" s="119">
        <f t="shared" si="3"/>
        <v>-87.734044165588202</v>
      </c>
      <c r="V51" s="166">
        <f t="shared" si="4"/>
        <v>-3.3040985143055899</v>
      </c>
      <c r="W51" s="119">
        <f t="shared" si="5"/>
        <v>67.985226074405688</v>
      </c>
      <c r="X51" s="119">
        <f t="shared" si="6"/>
        <v>2.113454384402992</v>
      </c>
      <c r="Y51" s="119">
        <f t="shared" si="7"/>
        <v>0.97454653012826753</v>
      </c>
      <c r="Z51" s="119">
        <f t="shared" si="8"/>
        <v>168.44495358528144</v>
      </c>
      <c r="AA51" s="119">
        <f t="shared" si="9"/>
        <v>1.569427366133912</v>
      </c>
      <c r="AB51" s="119">
        <f t="shared" si="10"/>
        <v>8.4763399336383625</v>
      </c>
      <c r="AC51" s="119">
        <f t="shared" si="11"/>
        <v>0.7621382033133004</v>
      </c>
      <c r="AD51" s="119">
        <f t="shared" si="12"/>
        <v>0</v>
      </c>
      <c r="AE51" s="166">
        <f t="shared" si="13"/>
        <v>9.4773408250743501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46"/>
      <c r="AV51" s="145">
        <f>B51*HRT!E51</f>
        <v>531.43235883175089</v>
      </c>
      <c r="AW51" s="145">
        <f>C51*HRT!E51</f>
        <v>53.715878731560004</v>
      </c>
      <c r="AX51" s="145">
        <f>D51*HRT!E51</f>
        <v>252.88063388099465</v>
      </c>
      <c r="AY51" s="145">
        <f>E51*HRT!E51</f>
        <v>0</v>
      </c>
      <c r="AZ51" s="145">
        <f>F51*HRT!E51</f>
        <v>9.5235838567507169</v>
      </c>
      <c r="BA51" s="99">
        <f>H51*HRT!E51</f>
        <v>0</v>
      </c>
      <c r="BB51" s="99">
        <f>I51*HRT!E51</f>
        <v>195.95753538717742</v>
      </c>
      <c r="BC51" s="99">
        <f>J51*HRT!E51</f>
        <v>6.0917251619870401</v>
      </c>
      <c r="BD51" s="99">
        <f>K51*HRT!E51</f>
        <v>2.808988764044944</v>
      </c>
      <c r="BE51" s="99">
        <f>L51*HRT!E51</f>
        <v>485.518102372035</v>
      </c>
      <c r="BF51" s="99">
        <f>M51*HRT!E51</f>
        <v>4.5236463331048675</v>
      </c>
      <c r="BG51" s="99">
        <f>N51*HRT!E51</f>
        <v>24.431818181818183</v>
      </c>
      <c r="BH51" s="99">
        <f>O51*HRT!E51</f>
        <v>27.317057798311996</v>
      </c>
      <c r="BI51" s="112">
        <f>P51*HRT!E51</f>
        <v>2.1967526265520538</v>
      </c>
      <c r="BJ51">
        <f>AVERAGE(AV48,AV51)</f>
        <v>541.11512950929114</v>
      </c>
      <c r="BK51">
        <f t="shared" ref="BK51:BN51" si="38">AVERAGE(AW48,AW51)</f>
        <v>52.704959925659196</v>
      </c>
      <c r="BL51">
        <f t="shared" si="38"/>
        <v>254.31814775754884</v>
      </c>
      <c r="BM51">
        <f>AVERAGE(AY48,AY51)</f>
        <v>0</v>
      </c>
      <c r="BN51">
        <f t="shared" si="38"/>
        <v>9.7833179619348272</v>
      </c>
    </row>
    <row r="52" spans="1:70">
      <c r="A52" s="186">
        <f>Productivities!A52</f>
        <v>107.07916666667006</v>
      </c>
      <c r="B52" s="143">
        <f>Productivities!B52-Productivities!P52</f>
        <v>167.61807175871246</v>
      </c>
      <c r="C52" s="143">
        <f>Productivities!C52-Productivities!Q52</f>
        <v>16.974853581805647</v>
      </c>
      <c r="D52" s="143">
        <f>Productivities!D52-Productivities!R52</f>
        <v>79.82846537801754</v>
      </c>
      <c r="E52" s="143">
        <f>Productivities!E52</f>
        <v>0</v>
      </c>
      <c r="F52" s="143">
        <f>Productivities!F52</f>
        <v>3.0078661657037138</v>
      </c>
      <c r="G52" s="143">
        <f t="shared" si="14"/>
        <v>267.42925688423935</v>
      </c>
      <c r="H52" s="144">
        <f>Productivities!I52</f>
        <v>0</v>
      </c>
      <c r="I52" s="144">
        <f>Productivities!J52</f>
        <v>61.777227993572041</v>
      </c>
      <c r="J52" s="144">
        <f>Productivities!K52</f>
        <v>1.9376316228906405</v>
      </c>
      <c r="K52" s="144">
        <f>Productivities!L52</f>
        <v>1.072216951833699</v>
      </c>
      <c r="L52" s="144">
        <f>Productivities!M52</f>
        <v>152.04115507404197</v>
      </c>
      <c r="M52" s="144">
        <f>Productivities!N52</f>
        <v>1.4848223791665291</v>
      </c>
      <c r="N52" s="144">
        <f>Productivities!O52</f>
        <v>5.5325470777250523</v>
      </c>
      <c r="O52" s="144">
        <f>Productivities!U52-Productivities!G52</f>
        <v>8.0258238361071506</v>
      </c>
      <c r="P52" s="144">
        <f>Productivities!H52</f>
        <v>0.90428874733508291</v>
      </c>
      <c r="Q52" s="144">
        <f t="shared" si="15"/>
        <v>232.77571368267215</v>
      </c>
      <c r="R52" s="144">
        <f t="shared" si="16"/>
        <v>223.84560109922992</v>
      </c>
      <c r="S52" s="119">
        <f t="shared" si="1"/>
        <v>-167.61807175871246</v>
      </c>
      <c r="T52" s="166">
        <f t="shared" si="2"/>
        <v>-16.974853581805647</v>
      </c>
      <c r="U52" s="119">
        <f t="shared" si="3"/>
        <v>-79.82846537801754</v>
      </c>
      <c r="V52" s="166">
        <f t="shared" si="4"/>
        <v>-3.0078661657037138</v>
      </c>
      <c r="W52" s="119">
        <f t="shared" si="5"/>
        <v>61.777227993572041</v>
      </c>
      <c r="X52" s="119">
        <f t="shared" si="6"/>
        <v>1.9376316228906405</v>
      </c>
      <c r="Y52" s="119">
        <f t="shared" si="7"/>
        <v>1.072216951833699</v>
      </c>
      <c r="Z52" s="119">
        <f t="shared" si="8"/>
        <v>152.04115507404197</v>
      </c>
      <c r="AA52" s="119">
        <f t="shared" si="9"/>
        <v>1.4848223791665291</v>
      </c>
      <c r="AB52" s="119">
        <f t="shared" si="10"/>
        <v>5.5325470777250523</v>
      </c>
      <c r="AC52" s="119">
        <f t="shared" si="11"/>
        <v>0.90428874733508291</v>
      </c>
      <c r="AD52" s="119">
        <f t="shared" si="12"/>
        <v>0</v>
      </c>
      <c r="AE52" s="166">
        <f t="shared" si="13"/>
        <v>8.0258238361071506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46"/>
      <c r="AV52" s="145">
        <f>B52*HRT!E52</f>
        <v>519.2852851317042</v>
      </c>
      <c r="AW52" s="145">
        <f>C52*HRT!E52</f>
        <v>52.588551996862478</v>
      </c>
      <c r="AX52" s="145">
        <f>D52*HRT!E52</f>
        <v>247.31072831528101</v>
      </c>
      <c r="AY52" s="145">
        <f>E52*HRT!E52</f>
        <v>0</v>
      </c>
      <c r="AZ52" s="145">
        <f>F52*HRT!E52</f>
        <v>9.3184501116555314</v>
      </c>
      <c r="BA52" s="99">
        <f>H52*HRT!E52</f>
        <v>0</v>
      </c>
      <c r="BB52" s="99">
        <f>I52*HRT!E52</f>
        <v>191.38751040799335</v>
      </c>
      <c r="BC52" s="99">
        <f>J52*HRT!E52</f>
        <v>6.002834773218142</v>
      </c>
      <c r="BD52" s="99">
        <f>K52*HRT!E52</f>
        <v>3.3217568947906031</v>
      </c>
      <c r="BE52" s="99">
        <f>L52*HRT!E52</f>
        <v>471.02757916241052</v>
      </c>
      <c r="BF52" s="99">
        <f>M52*HRT!E52</f>
        <v>4.6000195828845589</v>
      </c>
      <c r="BG52" s="99">
        <f>N52*HRT!E52</f>
        <v>17.139979338842974</v>
      </c>
      <c r="BH52" s="99">
        <f>O52*HRT!E52</f>
        <v>24.864217655177157</v>
      </c>
      <c r="BI52" s="112">
        <f>P52*HRT!E52</f>
        <v>2.8015108101067994</v>
      </c>
      <c r="BJ52">
        <f>STDEVA(AV48,AV51)</f>
        <v>13.693505613526021</v>
      </c>
      <c r="BK52">
        <f t="shared" ref="BK52:BN52" si="39">STDEVA(AW48,AW51)</f>
        <v>1.4296550857629418</v>
      </c>
      <c r="BL52">
        <f t="shared" si="39"/>
        <v>2.0329516203224616</v>
      </c>
      <c r="BM52">
        <f t="shared" si="39"/>
        <v>0</v>
      </c>
      <c r="BN52">
        <f t="shared" si="39"/>
        <v>0.36731949416220744</v>
      </c>
    </row>
    <row r="53" spans="1:70">
      <c r="A53" s="186">
        <f>Productivities!A53</f>
        <v>110.29652777777665</v>
      </c>
      <c r="B53" s="143">
        <f>Productivities!B53-Productivities!P53</f>
        <v>213.837286775699</v>
      </c>
      <c r="C53" s="143">
        <f>Productivities!C53-Productivities!Q53</f>
        <v>21.734615559164776</v>
      </c>
      <c r="D53" s="143">
        <f>Productivities!D53-Productivities!R53</f>
        <v>101.96696280347841</v>
      </c>
      <c r="E53" s="143">
        <f>Productivities!E53</f>
        <v>0</v>
      </c>
      <c r="F53" s="143">
        <f>Productivities!F53</f>
        <v>3.8424815728039738</v>
      </c>
      <c r="G53" s="143">
        <f t="shared" si="14"/>
        <v>341.38134671114619</v>
      </c>
      <c r="H53" s="144">
        <f>Productivities!I53</f>
        <v>0</v>
      </c>
      <c r="I53" s="144">
        <f>Productivities!J53</f>
        <v>79.848283161511247</v>
      </c>
      <c r="J53" s="144">
        <f>Productivities!K53</f>
        <v>1.0042501045430177</v>
      </c>
      <c r="K53" s="144">
        <f>Productivities!L53</f>
        <v>1.4960128244636499</v>
      </c>
      <c r="L53" s="144">
        <f>Productivities!M53</f>
        <v>207.31866611342465</v>
      </c>
      <c r="M53" s="144">
        <f>Productivities!N53</f>
        <v>2.004412561123516</v>
      </c>
      <c r="N53" s="144">
        <f>Productivities!O53</f>
        <v>4.6765855442427737</v>
      </c>
      <c r="O53" s="144">
        <f>Productivities!U53-Productivities!G53</f>
        <v>12.347162862778589</v>
      </c>
      <c r="P53" s="144">
        <f>Productivities!H53</f>
        <v>1.0621437756391603</v>
      </c>
      <c r="Q53" s="144">
        <f t="shared" si="15"/>
        <v>309.75751694772657</v>
      </c>
      <c r="R53" s="144">
        <f t="shared" si="16"/>
        <v>296.3482103093088</v>
      </c>
      <c r="S53" s="119">
        <f t="shared" si="1"/>
        <v>-213.837286775699</v>
      </c>
      <c r="T53" s="166">
        <f t="shared" si="2"/>
        <v>-21.734615559164776</v>
      </c>
      <c r="U53" s="119">
        <f t="shared" si="3"/>
        <v>-101.96696280347841</v>
      </c>
      <c r="V53" s="166">
        <f t="shared" si="4"/>
        <v>-3.8424815728039738</v>
      </c>
      <c r="W53" s="119">
        <f t="shared" si="5"/>
        <v>79.848283161511247</v>
      </c>
      <c r="X53" s="119">
        <f t="shared" si="6"/>
        <v>1.0042501045430177</v>
      </c>
      <c r="Y53" s="119">
        <f t="shared" si="7"/>
        <v>1.4960128244636499</v>
      </c>
      <c r="Z53" s="119">
        <f t="shared" si="8"/>
        <v>207.31866611342465</v>
      </c>
      <c r="AA53" s="119">
        <f t="shared" si="9"/>
        <v>2.004412561123516</v>
      </c>
      <c r="AB53" s="119">
        <f t="shared" si="10"/>
        <v>4.6765855442427737</v>
      </c>
      <c r="AC53" s="119">
        <f t="shared" si="11"/>
        <v>1.0621437756391603</v>
      </c>
      <c r="AD53" s="119">
        <f t="shared" si="12"/>
        <v>0</v>
      </c>
      <c r="AE53" s="166">
        <f t="shared" si="13"/>
        <v>12.347162862778589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46"/>
      <c r="AV53" s="145">
        <f>B53*HRT!E53</f>
        <v>558.90417801343835</v>
      </c>
      <c r="AW53" s="145">
        <f>C53*HRT!E53</f>
        <v>56.807527006620987</v>
      </c>
      <c r="AX53" s="145">
        <f>D53*HRT!E53</f>
        <v>266.50993561278858</v>
      </c>
      <c r="AY53" s="145">
        <f>E53*HRT!E53</f>
        <v>0</v>
      </c>
      <c r="AZ53" s="145">
        <f>F53*HRT!E53</f>
        <v>10.043052067118937</v>
      </c>
      <c r="BA53" s="99">
        <f>H53*HRT!E53</f>
        <v>0</v>
      </c>
      <c r="BB53" s="99">
        <f>I53*HRT!E53</f>
        <v>208.69858451290591</v>
      </c>
      <c r="BC53" s="99">
        <f>J53*HRT!E53</f>
        <v>2.6247975161987047</v>
      </c>
      <c r="BD53" s="99">
        <f>K53*HRT!E53</f>
        <v>3.9101123595505616</v>
      </c>
      <c r="BE53" s="99">
        <f>L53*HRT!E53</f>
        <v>541.86653047327195</v>
      </c>
      <c r="BF53" s="99">
        <f>M53*HRT!E53</f>
        <v>5.2389111916185245</v>
      </c>
      <c r="BG53" s="99">
        <f>N53*HRT!E53</f>
        <v>12.223140495867769</v>
      </c>
      <c r="BH53" s="99">
        <f>O53*HRT!E53</f>
        <v>32.271644551204403</v>
      </c>
      <c r="BI53" s="112">
        <f>P53*HRT!E53</f>
        <v>2.7761135712425111</v>
      </c>
    </row>
    <row r="54" spans="1:70">
      <c r="A54" s="186">
        <f>Productivities!A54</f>
        <v>112.15347222222044</v>
      </c>
      <c r="B54" s="143">
        <f>Productivities!B54-Productivities!P54</f>
        <v>221.45891059295261</v>
      </c>
      <c r="C54" s="143">
        <f>Productivities!C54-Productivities!Q54</f>
        <v>20.154737788546999</v>
      </c>
      <c r="D54" s="143">
        <f>Productivities!D54-Productivities!R54</f>
        <v>105.45762318149195</v>
      </c>
      <c r="E54" s="143">
        <f>Productivities!E54</f>
        <v>0</v>
      </c>
      <c r="F54" s="143">
        <f>Productivities!F54</f>
        <v>3.8518820345067351</v>
      </c>
      <c r="G54" s="143">
        <f t="shared" si="14"/>
        <v>350.9231535974983</v>
      </c>
      <c r="H54" s="144">
        <f>Productivities!I54</f>
        <v>0.2881184567588545</v>
      </c>
      <c r="I54" s="144">
        <f>Productivities!J54</f>
        <v>76.363270029925616</v>
      </c>
      <c r="J54" s="144">
        <f>Productivities!K54</f>
        <v>2.5178934657562264</v>
      </c>
      <c r="K54" s="144">
        <f>Productivities!L54</f>
        <v>1.1815603515260549</v>
      </c>
      <c r="L54" s="144">
        <f>Productivities!M54</f>
        <v>204.0968778148852</v>
      </c>
      <c r="M54" s="144">
        <f>Productivities!N54</f>
        <v>2.0855504896057955</v>
      </c>
      <c r="N54" s="144">
        <f>Productivities!O54</f>
        <v>3.6366676968926659</v>
      </c>
      <c r="O54" s="144">
        <f>Productivities!U54-Productivities!G54</f>
        <v>12.5751816957046</v>
      </c>
      <c r="P54" s="144">
        <f>Productivities!H54</f>
        <v>1.5838342967888377</v>
      </c>
      <c r="Q54" s="144">
        <f t="shared" si="15"/>
        <v>304.32895429784389</v>
      </c>
      <c r="R54" s="144">
        <f t="shared" si="16"/>
        <v>289.88181984859159</v>
      </c>
      <c r="S54" s="119">
        <f t="shared" si="1"/>
        <v>-221.45891059295261</v>
      </c>
      <c r="T54" s="166">
        <f t="shared" si="2"/>
        <v>-20.154737788546999</v>
      </c>
      <c r="U54" s="119">
        <f t="shared" si="3"/>
        <v>-105.45762318149195</v>
      </c>
      <c r="V54" s="166">
        <f t="shared" si="4"/>
        <v>-3.8518820345067351</v>
      </c>
      <c r="W54" s="119">
        <f t="shared" si="5"/>
        <v>76.363270029925616</v>
      </c>
      <c r="X54" s="119">
        <f t="shared" si="6"/>
        <v>2.5178934657562264</v>
      </c>
      <c r="Y54" s="119">
        <f t="shared" si="7"/>
        <v>1.1815603515260549</v>
      </c>
      <c r="Z54" s="119">
        <f t="shared" si="8"/>
        <v>204.0968778148852</v>
      </c>
      <c r="AA54" s="119">
        <f t="shared" si="9"/>
        <v>2.0855504896057955</v>
      </c>
      <c r="AB54" s="119">
        <f t="shared" si="10"/>
        <v>3.6366676968926659</v>
      </c>
      <c r="AC54" s="119">
        <f t="shared" si="11"/>
        <v>1.5838342967888377</v>
      </c>
      <c r="AD54" s="119">
        <f t="shared" si="12"/>
        <v>0.2881184567588545</v>
      </c>
      <c r="AE54" s="166">
        <f t="shared" si="13"/>
        <v>12.5751816957046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46">
        <v>112.15</v>
      </c>
      <c r="AV54" s="145">
        <f>B54*HRT!E54</f>
        <v>597.32288229615438</v>
      </c>
      <c r="AW54" s="145">
        <f>C54*HRT!E54</f>
        <v>54.361714484841428</v>
      </c>
      <c r="AX54" s="145">
        <f>D54*HRT!E54</f>
        <v>284.44216252220241</v>
      </c>
      <c r="AY54" s="145">
        <f>E54*HRT!E54</f>
        <v>0</v>
      </c>
      <c r="AZ54" s="145">
        <f>F54*HRT!E54</f>
        <v>10.389364207364416</v>
      </c>
      <c r="BA54" s="99">
        <f>H54*HRT!E54</f>
        <v>0.77711818672423083</v>
      </c>
      <c r="BB54" s="99">
        <f>I54*HRT!E54</f>
        <v>205.96835970024975</v>
      </c>
      <c r="BC54" s="99">
        <f>J54*HRT!E54</f>
        <v>6.7913066954643622</v>
      </c>
      <c r="BD54" s="99">
        <f>K54*HRT!E54</f>
        <v>3.186925434116445</v>
      </c>
      <c r="BE54" s="99">
        <f>L54*HRT!E54</f>
        <v>550.49370105549872</v>
      </c>
      <c r="BF54" s="99">
        <f>M54*HRT!E54</f>
        <v>5.6251835895427389</v>
      </c>
      <c r="BG54" s="99">
        <f>N54*HRT!E54</f>
        <v>9.8088842975206596</v>
      </c>
      <c r="BH54" s="99">
        <f>O54*HRT!E54</f>
        <v>33.918002015653137</v>
      </c>
      <c r="BI54" s="112">
        <f>P54*HRT!E54</f>
        <v>4.2719458192237552</v>
      </c>
    </row>
    <row r="55" spans="1:70" s="172" customFormat="1">
      <c r="A55" s="180">
        <f>Productivities!A55</f>
        <v>113.1916666666657</v>
      </c>
      <c r="B55" s="177">
        <f>Productivities!B55-Productivities!P55</f>
        <v>246.00135211794884</v>
      </c>
      <c r="C55" s="177">
        <f>Productivities!C55-Productivities!Q55</f>
        <v>22.425367430029976</v>
      </c>
      <c r="D55" s="177">
        <f>Productivities!D55-Productivities!R55</f>
        <v>117.09161367231532</v>
      </c>
      <c r="E55" s="177">
        <f>Productivities!E55</f>
        <v>180.62311084690444</v>
      </c>
      <c r="F55" s="177">
        <f>Productivities!F55</f>
        <v>4.2777216833221416</v>
      </c>
      <c r="G55" s="177">
        <f t="shared" si="14"/>
        <v>570.41916575052073</v>
      </c>
      <c r="H55" s="178">
        <f>Productivities!I55</f>
        <v>0.34975712735107573</v>
      </c>
      <c r="I55" s="178">
        <f>Productivities!J55</f>
        <v>84.917573944606616</v>
      </c>
      <c r="J55" s="178">
        <f>Productivities!K55</f>
        <v>2.5085070086898806</v>
      </c>
      <c r="K55" s="178">
        <f>Productivities!L55</f>
        <v>1.1316273486490545</v>
      </c>
      <c r="L55" s="178">
        <f>Productivities!M55</f>
        <v>233.86210787181361</v>
      </c>
      <c r="M55" s="178">
        <f>Productivities!N55</f>
        <v>2.0990064058783573</v>
      </c>
      <c r="N55" s="178">
        <f>Productivities!O55</f>
        <v>3.650197429360051</v>
      </c>
      <c r="O55" s="178">
        <f>Productivities!U55-Productivities!G55</f>
        <v>10.661198787132946</v>
      </c>
      <c r="P55" s="178">
        <f>Productivities!H55</f>
        <v>1.5799819951660976</v>
      </c>
      <c r="Q55" s="178">
        <f t="shared" si="15"/>
        <v>340.75995791864767</v>
      </c>
      <c r="R55" s="178">
        <f t="shared" si="16"/>
        <v>328.16902000899756</v>
      </c>
      <c r="S55" s="170">
        <f t="shared" si="1"/>
        <v>-246.00135211794884</v>
      </c>
      <c r="T55" s="171">
        <f t="shared" si="2"/>
        <v>-22.425367430029976</v>
      </c>
      <c r="U55" s="170">
        <f t="shared" si="3"/>
        <v>-117.09161367231532</v>
      </c>
      <c r="V55" s="171">
        <f t="shared" si="4"/>
        <v>-4.2777216833221416</v>
      </c>
      <c r="W55" s="170">
        <f t="shared" si="5"/>
        <v>84.917573944606616</v>
      </c>
      <c r="X55" s="170">
        <f t="shared" si="6"/>
        <v>2.5085070086898806</v>
      </c>
      <c r="Y55" s="170">
        <f t="shared" si="7"/>
        <v>1.1316273486490545</v>
      </c>
      <c r="Z55" s="170">
        <f t="shared" si="8"/>
        <v>233.86210787181361</v>
      </c>
      <c r="AA55" s="170">
        <f t="shared" si="9"/>
        <v>2.0990064058783573</v>
      </c>
      <c r="AB55" s="170">
        <f t="shared" si="10"/>
        <v>3.650197429360051</v>
      </c>
      <c r="AC55" s="170">
        <f t="shared" si="11"/>
        <v>-179.04312885173835</v>
      </c>
      <c r="AD55" s="170">
        <f t="shared" si="12"/>
        <v>0.34975712735107573</v>
      </c>
      <c r="AE55" s="171">
        <f t="shared" si="13"/>
        <v>10.661198787132946</v>
      </c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5"/>
      <c r="AV55" s="173">
        <f>B55*HRT!E55</f>
        <v>621.74084480100566</v>
      </c>
      <c r="AW55" s="173">
        <f>C55*HRT!E55</f>
        <v>56.677602667137933</v>
      </c>
      <c r="AX55" s="173">
        <f>D55*HRT!E55</f>
        <v>295.9359295262451</v>
      </c>
      <c r="AY55" s="173">
        <f>E55*HRT!E55</f>
        <v>456.50466780644308</v>
      </c>
      <c r="AZ55" s="173">
        <f>F55*HRT!E55</f>
        <v>10.811462092846909</v>
      </c>
      <c r="BA55" s="174">
        <f>H55*HRT!E55</f>
        <v>0.88397193739881275</v>
      </c>
      <c r="BB55" s="174">
        <f>I55*HRT!E55</f>
        <v>214.6196502914238</v>
      </c>
      <c r="BC55" s="174">
        <f>J55*HRT!E55</f>
        <v>6.3399703023758098</v>
      </c>
      <c r="BD55" s="174">
        <f>K55*HRT!E55</f>
        <v>2.8600612870275786</v>
      </c>
      <c r="BE55" s="174">
        <f>L55*HRT!E55</f>
        <v>591.06026557711948</v>
      </c>
      <c r="BF55" s="174">
        <f>M55*HRT!E55</f>
        <v>5.3050034270047979</v>
      </c>
      <c r="BG55" s="174">
        <f>N55*HRT!E55</f>
        <v>9.2254648760330582</v>
      </c>
      <c r="BH55" s="174">
        <f>O55*HRT!E55</f>
        <v>26.944984990673408</v>
      </c>
      <c r="BI55" s="181">
        <f>P55*HRT!E55</f>
        <v>3.9932274029695232</v>
      </c>
    </row>
    <row r="56" spans="1:70">
      <c r="A56" s="187">
        <f>Productivities!A56</f>
        <v>114.2770833333343</v>
      </c>
      <c r="B56" s="143">
        <f>Productivities!B56-Productivities!P56</f>
        <v>195.45765491082733</v>
      </c>
      <c r="C56" s="143">
        <f>Productivities!C56-Productivities!Q56</f>
        <v>17.81284935705531</v>
      </c>
      <c r="D56" s="143">
        <f>Productivities!D56-Productivities!R56</f>
        <v>92.99679752338298</v>
      </c>
      <c r="E56" s="143">
        <f>Productivities!E56</f>
        <v>143.44983913431523</v>
      </c>
      <c r="F56" s="143">
        <f>Productivities!F56</f>
        <v>3.3973420370001901</v>
      </c>
      <c r="G56" s="143">
        <f t="shared" si="14"/>
        <v>453.11448296258101</v>
      </c>
      <c r="H56" s="144">
        <f>Productivities!I56</f>
        <v>0.34941381564097163</v>
      </c>
      <c r="I56" s="144">
        <f>Productivities!J56</f>
        <v>65.659589395156317</v>
      </c>
      <c r="J56" s="144">
        <f>Productivities!K56</f>
        <v>1.8989771290431747</v>
      </c>
      <c r="K56" s="144">
        <f>Productivities!L56</f>
        <v>0.73928932404419812</v>
      </c>
      <c r="L56" s="144">
        <f>Productivities!M56</f>
        <v>176.77031234917058</v>
      </c>
      <c r="M56" s="144">
        <f>Productivities!N56</f>
        <v>1.6377311442821514</v>
      </c>
      <c r="N56" s="144">
        <f>Productivities!O56</f>
        <v>2.5487907869436235</v>
      </c>
      <c r="O56" s="144">
        <f>Productivities!U56-Productivities!G56</f>
        <v>7.6777882636283721</v>
      </c>
      <c r="P56" s="144">
        <f>Productivities!H56</f>
        <v>38.769190833076166</v>
      </c>
      <c r="Q56" s="144">
        <f t="shared" si="15"/>
        <v>296.05108304098553</v>
      </c>
      <c r="R56" s="144">
        <f t="shared" si="16"/>
        <v>249.25469012864002</v>
      </c>
      <c r="S56" s="119">
        <f t="shared" si="1"/>
        <v>-195.45765491082733</v>
      </c>
      <c r="T56" s="166">
        <f t="shared" si="2"/>
        <v>-17.81284935705531</v>
      </c>
      <c r="U56" s="119">
        <f t="shared" si="3"/>
        <v>-92.99679752338298</v>
      </c>
      <c r="V56" s="166">
        <f t="shared" si="4"/>
        <v>-3.3973420370001901</v>
      </c>
      <c r="W56" s="119">
        <f t="shared" si="5"/>
        <v>65.659589395156317</v>
      </c>
      <c r="X56" s="119">
        <f t="shared" si="6"/>
        <v>1.8989771290431747</v>
      </c>
      <c r="Y56" s="119">
        <f t="shared" si="7"/>
        <v>0.73928932404419812</v>
      </c>
      <c r="Z56" s="119">
        <f t="shared" si="8"/>
        <v>176.77031234917058</v>
      </c>
      <c r="AA56" s="119">
        <f t="shared" si="9"/>
        <v>1.6377311442821514</v>
      </c>
      <c r="AB56" s="119">
        <f t="shared" si="10"/>
        <v>2.5487907869436235</v>
      </c>
      <c r="AC56" s="119">
        <f t="shared" si="11"/>
        <v>-104.68064830123906</v>
      </c>
      <c r="AD56" s="119">
        <f t="shared" si="12"/>
        <v>0.34941381564097163</v>
      </c>
      <c r="AE56" s="166">
        <f t="shared" si="13"/>
        <v>7.6777882636283721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45"/>
      <c r="AV56" s="145">
        <f>B56*HRT!E56</f>
        <v>627.61263922308831</v>
      </c>
      <c r="AW56" s="145">
        <f>C56*HRT!E56</f>
        <v>57.196886978743166</v>
      </c>
      <c r="AX56" s="145">
        <f>D56*HRT!E56</f>
        <v>298.61181727353465</v>
      </c>
      <c r="AY56" s="145">
        <f>E56*HRT!E56</f>
        <v>460.61604584527225</v>
      </c>
      <c r="AZ56" s="145">
        <f>F56*HRT!E56</f>
        <v>10.90883241773264</v>
      </c>
      <c r="BA56" s="99">
        <f>H56*HRT!E56</f>
        <v>1.1219643820831084</v>
      </c>
      <c r="BB56" s="99">
        <f>I56*HRT!E56</f>
        <v>210.83230641132391</v>
      </c>
      <c r="BC56" s="99">
        <f>J56*HRT!E56</f>
        <v>6.0975971922246233</v>
      </c>
      <c r="BD56" s="99">
        <f>K56*HRT!E56</f>
        <v>2.3738508682328905</v>
      </c>
      <c r="BE56" s="99">
        <f>L56*HRT!E56</f>
        <v>567.60776302349348</v>
      </c>
      <c r="BF56" s="99">
        <f>M56*HRT!E56</f>
        <v>5.2587388622344076</v>
      </c>
      <c r="BG56" s="99">
        <f>N56*HRT!E56</f>
        <v>8.1841425619834727</v>
      </c>
      <c r="BH56" s="99">
        <f>O56*HRT!E56</f>
        <v>24.653303845941753</v>
      </c>
      <c r="BI56" s="99">
        <f>P56*HRT!E56</f>
        <v>124.48749674394374</v>
      </c>
      <c r="BQ56">
        <f>AY57-$AY$56</f>
        <v>-21.934097421203603</v>
      </c>
    </row>
    <row r="57" spans="1:70">
      <c r="A57" s="187">
        <f>Productivities!A57</f>
        <v>117.28819444444525</v>
      </c>
      <c r="B57" s="143">
        <f>Productivities!B57-Productivities!P57</f>
        <v>192.69035917448372</v>
      </c>
      <c r="C57" s="143">
        <f>Productivities!C57-Productivities!Q57</f>
        <v>17.55881032421755</v>
      </c>
      <c r="D57" s="143">
        <f>Productivities!D57-Productivities!R57</f>
        <v>91.767196981122126</v>
      </c>
      <c r="E57" s="143">
        <f>Productivities!E57</f>
        <v>141.5307753306835</v>
      </c>
      <c r="F57" s="143">
        <f>Productivities!F57</f>
        <v>3.3518925881119355</v>
      </c>
      <c r="G57" s="143">
        <f t="shared" si="14"/>
        <v>446.89903439861882</v>
      </c>
      <c r="H57" s="144">
        <f>Productivities!I57</f>
        <v>0.85662511973208499</v>
      </c>
      <c r="I57" s="144">
        <f>Productivities!J57</f>
        <v>65.284078667534558</v>
      </c>
      <c r="J57" s="144">
        <f>Productivities!K57</f>
        <v>2.0303570489269696</v>
      </c>
      <c r="K57" s="144">
        <f>Productivities!L57</f>
        <v>0.52288252565878812</v>
      </c>
      <c r="L57" s="144">
        <f>Productivities!M57</f>
        <v>173.76396940926415</v>
      </c>
      <c r="M57" s="144">
        <f>Productivities!N57</f>
        <v>1.4310209511573999</v>
      </c>
      <c r="N57" s="144">
        <f>Productivities!O57</f>
        <v>1.5548103138057003</v>
      </c>
      <c r="O57" s="144">
        <f>Productivities!U57-Productivities!G57</f>
        <v>5.3329369416271533</v>
      </c>
      <c r="P57" s="144">
        <f>Productivities!H57</f>
        <v>92.531595616560224</v>
      </c>
      <c r="Q57" s="144">
        <f t="shared" si="15"/>
        <v>343.308276594267</v>
      </c>
      <c r="R57" s="144">
        <f t="shared" si="16"/>
        <v>244.58711891634755</v>
      </c>
      <c r="S57" s="119">
        <f t="shared" si="1"/>
        <v>-192.69035917448372</v>
      </c>
      <c r="T57" s="166">
        <f t="shared" si="2"/>
        <v>-17.55881032421755</v>
      </c>
      <c r="U57" s="119">
        <f t="shared" si="3"/>
        <v>-91.767196981122126</v>
      </c>
      <c r="V57" s="166">
        <f t="shared" si="4"/>
        <v>-3.3518925881119355</v>
      </c>
      <c r="W57" s="119">
        <f t="shared" si="5"/>
        <v>65.284078667534558</v>
      </c>
      <c r="X57" s="119">
        <f t="shared" si="6"/>
        <v>2.0303570489269696</v>
      </c>
      <c r="Y57" s="119">
        <f t="shared" si="7"/>
        <v>0.52288252565878812</v>
      </c>
      <c r="Z57" s="119">
        <f t="shared" si="8"/>
        <v>173.76396940926415</v>
      </c>
      <c r="AA57" s="119">
        <f t="shared" si="9"/>
        <v>1.4310209511573999</v>
      </c>
      <c r="AB57" s="119">
        <f t="shared" si="10"/>
        <v>1.5548103138057003</v>
      </c>
      <c r="AC57" s="119">
        <f t="shared" si="11"/>
        <v>-48.999179714123272</v>
      </c>
      <c r="AD57" s="119">
        <f t="shared" si="12"/>
        <v>0.85662511973208499</v>
      </c>
      <c r="AE57" s="166">
        <f t="shared" si="13"/>
        <v>5.3329369416271533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45"/>
      <c r="AV57" s="145">
        <f>B57*HRT!E57</f>
        <v>597.25372102070514</v>
      </c>
      <c r="AW57" s="145">
        <f>C57*HRT!E57</f>
        <v>54.424439540016252</v>
      </c>
      <c r="AX57" s="145">
        <f>D57*HRT!E57</f>
        <v>284.43716696269973</v>
      </c>
      <c r="AY57" s="145">
        <f>E57*HRT!E57</f>
        <v>438.68194842406865</v>
      </c>
      <c r="AZ57" s="145">
        <f>F57*HRT!E57</f>
        <v>10.389364207364418</v>
      </c>
      <c r="BA57" s="99">
        <f>H57*HRT!E57</f>
        <v>2.6551538046411221</v>
      </c>
      <c r="BB57" s="99">
        <f>I57*HRT!E57</f>
        <v>202.35137385512076</v>
      </c>
      <c r="BC57" s="99">
        <f>J57*HRT!E57</f>
        <v>6.2931965442764577</v>
      </c>
      <c r="BD57" s="99">
        <f>K57*HRT!E57</f>
        <v>1.6207013959822947</v>
      </c>
      <c r="BE57" s="99">
        <f>L57*HRT!E57</f>
        <v>538.59039836567911</v>
      </c>
      <c r="BF57" s="99">
        <f>M57*HRT!E57</f>
        <v>4.4355233525898363</v>
      </c>
      <c r="BG57" s="99">
        <f>N57*HRT!E57</f>
        <v>4.8192148760330564</v>
      </c>
      <c r="BH57" s="99">
        <f>O57*HRT!E57</f>
        <v>16.529713505134058</v>
      </c>
      <c r="BI57" s="99">
        <f>P57*HRT!E57</f>
        <v>286.806460015629</v>
      </c>
      <c r="BQ57">
        <f t="shared" ref="BQ57:BQ63" si="40">AY58-$AY$56</f>
        <v>-22.769981649854458</v>
      </c>
    </row>
    <row r="58" spans="1:70">
      <c r="A58" s="187">
        <f>Productivities!A58</f>
        <v>119.18194444444816</v>
      </c>
      <c r="B58" s="143">
        <f>Productivities!B58-Productivities!P58</f>
        <v>212.02097724444906</v>
      </c>
      <c r="C58" s="143">
        <f>Productivities!C58-Productivities!Q58</f>
        <v>19.263675301610402</v>
      </c>
      <c r="D58" s="143">
        <f>Productivities!D58-Productivities!R58</f>
        <v>100.9792671525442</v>
      </c>
      <c r="E58" s="143">
        <f>Productivities!E58</f>
        <v>155.71327035258389</v>
      </c>
      <c r="F58" s="143">
        <f>Productivities!F58</f>
        <v>3.6877785453093743</v>
      </c>
      <c r="G58" s="143">
        <f t="shared" si="14"/>
        <v>491.66496859649692</v>
      </c>
      <c r="H58" s="144">
        <f>Productivities!I58</f>
        <v>1.3473048360554631</v>
      </c>
      <c r="I58" s="144">
        <f>Productivities!J58</f>
        <v>61.772066143296669</v>
      </c>
      <c r="J58" s="144">
        <f>Productivities!K58</f>
        <v>2.4152245777552031</v>
      </c>
      <c r="K58" s="144">
        <f>Productivities!L58</f>
        <v>0.48919453244106886</v>
      </c>
      <c r="L58" s="144">
        <f>Productivities!M58</f>
        <v>221.67293233891488</v>
      </c>
      <c r="M58" s="144">
        <f>Productivities!N58</f>
        <v>1.666221699439203</v>
      </c>
      <c r="N58" s="144">
        <f>Productivities!O58</f>
        <v>1.8020541221125659</v>
      </c>
      <c r="O58" s="144">
        <f>Productivities!U58-Productivities!G58</f>
        <v>5.0565792088219581</v>
      </c>
      <c r="P58" s="144">
        <f>Productivities!H58</f>
        <v>100.75236809550347</v>
      </c>
      <c r="Q58" s="144">
        <f t="shared" si="15"/>
        <v>396.9739455543405</v>
      </c>
      <c r="R58" s="144">
        <f t="shared" si="16"/>
        <v>289.81769341395955</v>
      </c>
      <c r="S58" s="119">
        <f t="shared" si="1"/>
        <v>-212.02097724444906</v>
      </c>
      <c r="T58" s="166">
        <f t="shared" si="2"/>
        <v>-19.263675301610402</v>
      </c>
      <c r="U58" s="119">
        <f t="shared" si="3"/>
        <v>-100.9792671525442</v>
      </c>
      <c r="V58" s="166">
        <f t="shared" si="4"/>
        <v>-3.6877785453093743</v>
      </c>
      <c r="W58" s="119">
        <f t="shared" si="5"/>
        <v>61.772066143296669</v>
      </c>
      <c r="X58" s="119">
        <f t="shared" si="6"/>
        <v>2.4152245777552031</v>
      </c>
      <c r="Y58" s="119">
        <f t="shared" si="7"/>
        <v>0.48919453244106886</v>
      </c>
      <c r="Z58" s="119">
        <f t="shared" si="8"/>
        <v>221.67293233891488</v>
      </c>
      <c r="AA58" s="119">
        <f t="shared" si="9"/>
        <v>1.666221699439203</v>
      </c>
      <c r="AB58" s="119">
        <f t="shared" si="10"/>
        <v>1.8020541221125659</v>
      </c>
      <c r="AC58" s="119">
        <f t="shared" si="11"/>
        <v>-54.96090225708042</v>
      </c>
      <c r="AD58" s="119">
        <f t="shared" si="12"/>
        <v>1.3473048360554631</v>
      </c>
      <c r="AE58" s="166">
        <f t="shared" si="13"/>
        <v>5.0565792088219581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45"/>
      <c r="AV58" s="145">
        <f>B58*HRT!E58</f>
        <v>596.17622957340836</v>
      </c>
      <c r="AW58" s="145">
        <f>C58*HRT!E58</f>
        <v>54.167023745954168</v>
      </c>
      <c r="AX58" s="145">
        <f>D58*HRT!E58</f>
        <v>283.94095498711255</v>
      </c>
      <c r="AY58" s="145">
        <f>E58*HRT!E58</f>
        <v>437.8460641954178</v>
      </c>
      <c r="AZ58" s="145">
        <f>F58*HRT!E58</f>
        <v>10.369567847569256</v>
      </c>
      <c r="BA58" s="99">
        <f>H58*HRT!E58</f>
        <v>3.7884511602806259</v>
      </c>
      <c r="BB58" s="99">
        <f>I58*HRT!E58</f>
        <v>173.69525395503749</v>
      </c>
      <c r="BC58" s="99">
        <f>J58*HRT!E58</f>
        <v>6.7913066954643631</v>
      </c>
      <c r="BD58" s="99">
        <f>K58*HRT!E58</f>
        <v>1.3755532856656449</v>
      </c>
      <c r="BE58" s="99">
        <f>L58*HRT!E58</f>
        <v>623.31630915900575</v>
      </c>
      <c r="BF58" s="99">
        <f>M58*HRT!E58</f>
        <v>4.6852051307157545</v>
      </c>
      <c r="BG58" s="99">
        <f>N58*HRT!E58</f>
        <v>5.0671487603305794</v>
      </c>
      <c r="BH58" s="99">
        <f>O58*HRT!E58</f>
        <v>14.218462561744888</v>
      </c>
      <c r="BI58" s="99">
        <f>P58*HRT!E58</f>
        <v>283.3029434748633</v>
      </c>
      <c r="BQ58">
        <f t="shared" si="40"/>
        <v>4.6713990825313658</v>
      </c>
    </row>
    <row r="59" spans="1:70">
      <c r="A59" s="187">
        <f>Productivities!A59</f>
        <v>121.20138888889051</v>
      </c>
      <c r="B59" s="143">
        <f>Productivities!B59-Productivities!P59</f>
        <v>205.52668797606759</v>
      </c>
      <c r="C59" s="143">
        <f>Productivities!C59-Productivities!Q59</f>
        <v>21.26364946122996</v>
      </c>
      <c r="D59" s="143">
        <f>Productivities!D59-Productivities!R59</f>
        <v>94.895091386258571</v>
      </c>
      <c r="E59" s="143">
        <f>Productivities!E59</f>
        <v>164.13473920932273</v>
      </c>
      <c r="F59" s="143">
        <f>Productivities!F59</f>
        <v>3.7772126992844051</v>
      </c>
      <c r="G59" s="143">
        <f t="shared" si="14"/>
        <v>489.59738073216323</v>
      </c>
      <c r="H59" s="144">
        <f>Productivities!I59</f>
        <v>1.9180009194607397</v>
      </c>
      <c r="I59" s="144">
        <f>Productivities!J59</f>
        <v>49.69349749271678</v>
      </c>
      <c r="J59" s="144">
        <f>Productivities!K59</f>
        <v>1.8422750948219877</v>
      </c>
      <c r="K59" s="144">
        <f>Productivities!L59</f>
        <v>0.5014146667432644</v>
      </c>
      <c r="L59" s="144">
        <f>Productivities!M59</f>
        <v>247.47047829523012</v>
      </c>
      <c r="M59" s="144">
        <f>Productivities!N59</f>
        <v>1.5097556032816875</v>
      </c>
      <c r="N59" s="144">
        <f>Productivities!O59</f>
        <v>2.0617138141650893</v>
      </c>
      <c r="O59" s="144">
        <f>Productivities!U59-Productivities!G59</f>
        <v>3.7421748601338436</v>
      </c>
      <c r="P59" s="144">
        <f>Productivities!H59</f>
        <v>101.04731012863101</v>
      </c>
      <c r="Q59" s="144">
        <f t="shared" si="15"/>
        <v>409.78662087518455</v>
      </c>
      <c r="R59" s="144">
        <f t="shared" si="16"/>
        <v>303.07913496695892</v>
      </c>
      <c r="S59" s="119">
        <f t="shared" si="1"/>
        <v>-205.52668797606759</v>
      </c>
      <c r="T59" s="166">
        <f t="shared" si="2"/>
        <v>-21.26364946122996</v>
      </c>
      <c r="U59" s="119">
        <f t="shared" si="3"/>
        <v>-94.895091386258571</v>
      </c>
      <c r="V59" s="166">
        <f t="shared" si="4"/>
        <v>-3.7772126992844051</v>
      </c>
      <c r="W59" s="119">
        <f t="shared" si="5"/>
        <v>49.69349749271678</v>
      </c>
      <c r="X59" s="119">
        <f t="shared" si="6"/>
        <v>1.8422750948219877</v>
      </c>
      <c r="Y59" s="119">
        <f t="shared" si="7"/>
        <v>0.5014146667432644</v>
      </c>
      <c r="Z59" s="119">
        <f t="shared" si="8"/>
        <v>247.47047829523012</v>
      </c>
      <c r="AA59" s="119">
        <f t="shared" si="9"/>
        <v>1.5097556032816875</v>
      </c>
      <c r="AB59" s="119">
        <f t="shared" si="10"/>
        <v>2.0617138141650893</v>
      </c>
      <c r="AC59" s="119">
        <f t="shared" si="11"/>
        <v>-63.08742908069172</v>
      </c>
      <c r="AD59" s="119">
        <f t="shared" si="12"/>
        <v>1.9180009194607397</v>
      </c>
      <c r="AE59" s="166">
        <f t="shared" si="13"/>
        <v>3.7421748601338436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45">
        <v>121.2</v>
      </c>
      <c r="AV59" s="145">
        <f>B59*HRT!E59</f>
        <v>582.62490910532836</v>
      </c>
      <c r="AW59" s="145">
        <f>C59*HRT!E59</f>
        <v>60.277971472197642</v>
      </c>
      <c r="AX59" s="145">
        <f>D59*HRT!E59</f>
        <v>269.00761423206859</v>
      </c>
      <c r="AY59" s="145">
        <f>E59*HRT!E59</f>
        <v>465.28744492780362</v>
      </c>
      <c r="AZ59" s="145">
        <f>F59*HRT!E59</f>
        <v>10.707603120857604</v>
      </c>
      <c r="BA59" s="99">
        <f>H59*HRT!E59</f>
        <v>5.4371289800323801</v>
      </c>
      <c r="BB59" s="99">
        <f>I59*HRT!E59</f>
        <v>140.87060782681104</v>
      </c>
      <c r="BC59" s="99">
        <f>J59*HRT!E59</f>
        <v>5.2224622030237589</v>
      </c>
      <c r="BD59" s="99">
        <f>K59*HRT!E59</f>
        <v>1.4214050618545002</v>
      </c>
      <c r="BE59" s="99">
        <f>L59*HRT!E59</f>
        <v>701.52672795369426</v>
      </c>
      <c r="BF59" s="99">
        <f>M59*HRT!E59</f>
        <v>4.2798394203466179</v>
      </c>
      <c r="BG59" s="99">
        <f>N59*HRT!E59</f>
        <v>5.8445247933884303</v>
      </c>
      <c r="BH59" s="99">
        <f>O59*HRT!E59</f>
        <v>10.608278220274766</v>
      </c>
      <c r="BI59" s="99">
        <f>P59*HRT!E59</f>
        <v>286.44785968568203</v>
      </c>
      <c r="BQ59">
        <f t="shared" si="40"/>
        <v>20.939914908396418</v>
      </c>
    </row>
    <row r="60" spans="1:70">
      <c r="A60" s="187">
        <f>Productivities!A60</f>
        <v>124.17569444444234</v>
      </c>
      <c r="B60" s="143">
        <f>Productivities!B60-Productivities!P60</f>
        <v>180.51821884076648</v>
      </c>
      <c r="C60" s="143">
        <f>Productivities!C60-Productivities!Q60</f>
        <v>18.5929614602742</v>
      </c>
      <c r="D60" s="143">
        <f>Productivities!D60-Productivities!R60</f>
        <v>83.349531494976944</v>
      </c>
      <c r="E60" s="143">
        <f>Productivities!E60</f>
        <v>144.18682690424566</v>
      </c>
      <c r="F60" s="143">
        <f>Productivities!F60</f>
        <v>3.318153830662709</v>
      </c>
      <c r="G60" s="143">
        <f t="shared" si="14"/>
        <v>429.96569253092599</v>
      </c>
      <c r="H60" s="144">
        <f>Productivities!I60</f>
        <v>3.5884991770241896</v>
      </c>
      <c r="I60" s="144">
        <f>Productivities!J60</f>
        <v>48.393629855171902</v>
      </c>
      <c r="J60" s="144">
        <f>Productivities!K60</f>
        <v>1.9206767525864532</v>
      </c>
      <c r="K60" s="144">
        <f>Productivities!L60</f>
        <v>0.60896400883727364</v>
      </c>
      <c r="L60" s="144">
        <f>Productivities!M60</f>
        <v>222.1805186242793</v>
      </c>
      <c r="M60" s="144">
        <f>Productivities!N60</f>
        <v>1.299347279095153</v>
      </c>
      <c r="N60" s="144">
        <f>Productivities!O60</f>
        <v>2.4943304202885823</v>
      </c>
      <c r="O60" s="144">
        <f>Productivities!U60-Productivities!G60</f>
        <v>-0.27671243426206615</v>
      </c>
      <c r="P60" s="144">
        <f>Productivities!H60</f>
        <v>90.231677846894272</v>
      </c>
      <c r="Q60" s="144">
        <f t="shared" si="15"/>
        <v>370.44093152991513</v>
      </c>
      <c r="R60" s="144">
        <f t="shared" si="16"/>
        <v>276.89746694025865</v>
      </c>
      <c r="S60" s="119">
        <f t="shared" si="1"/>
        <v>-180.51821884076648</v>
      </c>
      <c r="T60" s="166">
        <f t="shared" si="2"/>
        <v>-18.5929614602742</v>
      </c>
      <c r="U60" s="119">
        <f t="shared" si="3"/>
        <v>-83.349531494976944</v>
      </c>
      <c r="V60" s="166">
        <f t="shared" si="4"/>
        <v>-3.318153830662709</v>
      </c>
      <c r="W60" s="119">
        <f t="shared" si="5"/>
        <v>48.393629855171902</v>
      </c>
      <c r="X60" s="119">
        <f t="shared" si="6"/>
        <v>1.9206767525864532</v>
      </c>
      <c r="Y60" s="119">
        <f t="shared" si="7"/>
        <v>0.60896400883727364</v>
      </c>
      <c r="Z60" s="119">
        <f t="shared" si="8"/>
        <v>222.1805186242793</v>
      </c>
      <c r="AA60" s="119">
        <f t="shared" si="9"/>
        <v>1.299347279095153</v>
      </c>
      <c r="AB60" s="119">
        <f t="shared" si="10"/>
        <v>2.4943304202885823</v>
      </c>
      <c r="AC60" s="119">
        <f t="shared" si="11"/>
        <v>-53.955149057351392</v>
      </c>
      <c r="AD60" s="119">
        <f t="shared" si="12"/>
        <v>3.5884991770241896</v>
      </c>
      <c r="AE60" s="166">
        <f t="shared" si="13"/>
        <v>-0.27671243426206615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45"/>
      <c r="AV60" s="145">
        <f>B60*HRT!E60</f>
        <v>602.89574418012683</v>
      </c>
      <c r="AW60" s="145">
        <f>C60*HRT!E60</f>
        <v>62.096875362992222</v>
      </c>
      <c r="AX60" s="145">
        <f>D60*HRT!E60</f>
        <v>278.37122557726468</v>
      </c>
      <c r="AY60" s="145">
        <f>E60*HRT!E60</f>
        <v>481.55596075366867</v>
      </c>
      <c r="AZ60" s="145">
        <f>F60*HRT!E60</f>
        <v>11.08198848785538</v>
      </c>
      <c r="BA60" s="99">
        <f>H60*HRT!E60</f>
        <v>11.984889368591475</v>
      </c>
      <c r="BB60" s="99">
        <f>I60*HRT!E60</f>
        <v>161.62531223980019</v>
      </c>
      <c r="BC60" s="99">
        <f>J60*HRT!E60</f>
        <v>6.4146868250539972</v>
      </c>
      <c r="BD60" s="99">
        <f>K60*HRT!E60</f>
        <v>2.0338213596640564</v>
      </c>
      <c r="BE60" s="99">
        <f>L60*HRT!E60</f>
        <v>742.03972307343111</v>
      </c>
      <c r="BF60" s="99">
        <f>M60*HRT!E60</f>
        <v>4.3395672182512488</v>
      </c>
      <c r="BG60" s="99">
        <f>N60*HRT!E60</f>
        <v>8.3305785123966931</v>
      </c>
      <c r="BH60" s="99">
        <f>O60*HRT!E60</f>
        <v>-0.92416571606814346</v>
      </c>
      <c r="BI60" s="99">
        <f>P60*HRT!E60</f>
        <v>301.35625596943652</v>
      </c>
      <c r="BJ60">
        <f>AVERAGE(AV56,AV60)</f>
        <v>615.25419170160762</v>
      </c>
      <c r="BK60">
        <f t="shared" ref="BK60:BN60" si="41">AVERAGE(AW56,AW60)</f>
        <v>59.646881170867694</v>
      </c>
      <c r="BL60">
        <f t="shared" si="41"/>
        <v>288.4915214253997</v>
      </c>
      <c r="BM60">
        <f t="shared" si="41"/>
        <v>471.08600329947046</v>
      </c>
      <c r="BN60">
        <f t="shared" si="41"/>
        <v>10.99541045279401</v>
      </c>
      <c r="BQ60">
        <f t="shared" si="40"/>
        <v>48.486885581351089</v>
      </c>
      <c r="BR60">
        <f>AVERAGE(BQ56:BQ63)</f>
        <v>26.57535692685336</v>
      </c>
    </row>
    <row r="61" spans="1:70">
      <c r="A61" s="187">
        <f>Productivities!A61</f>
        <v>126.16180555555911</v>
      </c>
      <c r="B61" s="143">
        <f>Productivities!B61-Productivities!P61</f>
        <v>218.56548392203322</v>
      </c>
      <c r="C61" s="143">
        <f>Productivities!C61-Productivities!Q61</f>
        <v>22.400767429799231</v>
      </c>
      <c r="D61" s="143">
        <f>Productivities!D61-Productivities!R61</f>
        <v>100.93179286166102</v>
      </c>
      <c r="E61" s="143">
        <f>Productivities!E61</f>
        <v>174.69368545444851</v>
      </c>
      <c r="F61" s="143">
        <f>Productivities!F61</f>
        <v>4.0202044391213132</v>
      </c>
      <c r="G61" s="143">
        <f t="shared" si="14"/>
        <v>520.61193410706335</v>
      </c>
      <c r="H61" s="144">
        <f>Productivities!I61</f>
        <v>5.0243281737391969</v>
      </c>
      <c r="I61" s="144">
        <f>Productivities!J61</f>
        <v>64.929784315174373</v>
      </c>
      <c r="J61" s="144">
        <f>Productivities!K61</f>
        <v>2.3623313411275384</v>
      </c>
      <c r="K61" s="144">
        <f>Productivities!L61</f>
        <v>0.68853919714280309</v>
      </c>
      <c r="L61" s="144">
        <f>Productivities!M61</f>
        <v>255.81349756000188</v>
      </c>
      <c r="M61" s="144">
        <f>Productivities!N61</f>
        <v>1.5707240471768076</v>
      </c>
      <c r="N61" s="144">
        <f>Productivities!O61</f>
        <v>3.3505797932990626</v>
      </c>
      <c r="O61" s="144">
        <f>Productivities!U61-Productivities!G61</f>
        <v>-1.7978545523549485</v>
      </c>
      <c r="P61" s="144">
        <f>Productivities!H61</f>
        <v>112.45863888696175</v>
      </c>
      <c r="Q61" s="144">
        <f t="shared" si="15"/>
        <v>444.40056876226839</v>
      </c>
      <c r="R61" s="144">
        <f t="shared" si="16"/>
        <v>328.71545625392241</v>
      </c>
      <c r="S61" s="119">
        <f t="shared" si="1"/>
        <v>-218.56548392203322</v>
      </c>
      <c r="T61" s="166">
        <f t="shared" si="2"/>
        <v>-22.400767429799231</v>
      </c>
      <c r="U61" s="119">
        <f t="shared" si="3"/>
        <v>-100.93179286166102</v>
      </c>
      <c r="V61" s="166">
        <f t="shared" si="4"/>
        <v>-4.0202044391213132</v>
      </c>
      <c r="W61" s="119">
        <f t="shared" si="5"/>
        <v>64.929784315174373</v>
      </c>
      <c r="X61" s="119">
        <f t="shared" si="6"/>
        <v>2.3623313411275384</v>
      </c>
      <c r="Y61" s="119">
        <f t="shared" si="7"/>
        <v>0.68853919714280309</v>
      </c>
      <c r="Z61" s="119">
        <f t="shared" si="8"/>
        <v>255.81349756000188</v>
      </c>
      <c r="AA61" s="119">
        <f t="shared" si="9"/>
        <v>1.5707240471768076</v>
      </c>
      <c r="AB61" s="119">
        <f t="shared" si="10"/>
        <v>3.3505797932990626</v>
      </c>
      <c r="AC61" s="119">
        <f t="shared" si="11"/>
        <v>-62.235046567486762</v>
      </c>
      <c r="AD61" s="119">
        <f t="shared" si="12"/>
        <v>5.0243281737391969</v>
      </c>
      <c r="AE61" s="166">
        <f t="shared" si="13"/>
        <v>-1.7978545523549485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45"/>
      <c r="AV61" s="145">
        <f>B61*HRT!E61</f>
        <v>636.95678686909355</v>
      </c>
      <c r="AW61" s="145">
        <f>C61*HRT!E61</f>
        <v>65.281674807247072</v>
      </c>
      <c r="AX61" s="145">
        <f>D61*HRT!E61</f>
        <v>294.14155117481306</v>
      </c>
      <c r="AY61" s="145">
        <f>E61*HRT!E61</f>
        <v>509.10293142662334</v>
      </c>
      <c r="AZ61" s="145">
        <f>F61*HRT!E61</f>
        <v>11.715923558236812</v>
      </c>
      <c r="BA61" s="99">
        <f>H61*HRT!E61</f>
        <v>14.642201834862384</v>
      </c>
      <c r="BB61" s="99">
        <f>I61*HRT!E61</f>
        <v>189.22231473771856</v>
      </c>
      <c r="BC61" s="99">
        <f>J61*HRT!E61</f>
        <v>6.8844492440604741</v>
      </c>
      <c r="BD61" s="99">
        <f>K61*HRT!E61</f>
        <v>2.0065826807399838</v>
      </c>
      <c r="BE61" s="99">
        <f>L61*HRT!E61</f>
        <v>745.50720690046512</v>
      </c>
      <c r="BF61" s="99">
        <f>M61*HRT!E61</f>
        <v>4.5774992656418281</v>
      </c>
      <c r="BG61" s="99">
        <f>N61*HRT!E61</f>
        <v>9.7644628099173527</v>
      </c>
      <c r="BH61" s="99">
        <f>O61*HRT!E61</f>
        <v>-5.2394167568310142</v>
      </c>
      <c r="BI61" s="99">
        <f>P61*HRT!E61</f>
        <v>327.73378483980207</v>
      </c>
      <c r="BJ61">
        <f>STDEVA(AV56,AV60)</f>
        <v>17.477484094754224</v>
      </c>
      <c r="BK61">
        <f t="shared" ref="BK61:BN61" si="42">STDEVA(AW56,AW60)</f>
        <v>3.4648150142378218</v>
      </c>
      <c r="BL61">
        <f t="shared" si="42"/>
        <v>14.312259643660623</v>
      </c>
      <c r="BM61">
        <f t="shared" si="42"/>
        <v>14.806755829196391</v>
      </c>
      <c r="BN61">
        <f t="shared" si="42"/>
        <v>0.1224398313874029</v>
      </c>
      <c r="BQ61">
        <f t="shared" si="40"/>
        <v>81.134410002604852</v>
      </c>
    </row>
    <row r="62" spans="1:70">
      <c r="A62" s="187">
        <f>Productivities!A62</f>
        <v>128.18472222222044</v>
      </c>
      <c r="B62" s="143">
        <f>Productivities!B62-Productivities!P62</f>
        <v>196.71232499001704</v>
      </c>
      <c r="C62" s="143">
        <f>Productivities!C62-Productivities!Q62</f>
        <v>20.123479562252918</v>
      </c>
      <c r="D62" s="143">
        <f>Productivities!D62-Productivities!R62</f>
        <v>90.807835250928719</v>
      </c>
      <c r="E62" s="143">
        <f>Productivities!E62</f>
        <v>157.12808964571295</v>
      </c>
      <c r="F62" s="143">
        <f>Productivities!F62</f>
        <v>3.6159695289562119</v>
      </c>
      <c r="G62" s="143">
        <f t="shared" si="14"/>
        <v>468.38769897786784</v>
      </c>
      <c r="H62" s="144">
        <f>Productivities!I62</f>
        <v>5.7249979352808182</v>
      </c>
      <c r="I62" s="144">
        <f>Productivities!J62</f>
        <v>65.823164417741907</v>
      </c>
      <c r="J62" s="144">
        <f>Productivities!K62</f>
        <v>1.6490807944470769</v>
      </c>
      <c r="K62" s="144">
        <f>Productivities!L62</f>
        <v>0.56407752644330922</v>
      </c>
      <c r="L62" s="144">
        <f>Productivities!M62</f>
        <v>229.71701753357692</v>
      </c>
      <c r="M62" s="144">
        <f>Productivities!N62</f>
        <v>1.4875333360330134</v>
      </c>
      <c r="N62" s="144">
        <f>Productivities!O62</f>
        <v>3.3653968389156881</v>
      </c>
      <c r="O62" s="144">
        <f>Productivities!U62-Productivities!G62</f>
        <v>0.72208215210362425</v>
      </c>
      <c r="P62" s="144">
        <f>Productivities!H62</f>
        <v>120.37889243953357</v>
      </c>
      <c r="Q62" s="144">
        <f t="shared" si="15"/>
        <v>429.4322429740759</v>
      </c>
      <c r="R62" s="144">
        <f t="shared" si="16"/>
        <v>302.60627044715795</v>
      </c>
      <c r="S62" s="119">
        <f t="shared" si="1"/>
        <v>-196.71232499001704</v>
      </c>
      <c r="T62" s="166">
        <f t="shared" si="2"/>
        <v>-20.123479562252918</v>
      </c>
      <c r="U62" s="119">
        <f t="shared" si="3"/>
        <v>-90.807835250928719</v>
      </c>
      <c r="V62" s="166">
        <f t="shared" si="4"/>
        <v>-3.6159695289562119</v>
      </c>
      <c r="W62" s="119">
        <f t="shared" si="5"/>
        <v>65.823164417741907</v>
      </c>
      <c r="X62" s="119">
        <f t="shared" si="6"/>
        <v>1.6490807944470769</v>
      </c>
      <c r="Y62" s="119">
        <f t="shared" si="7"/>
        <v>0.56407752644330922</v>
      </c>
      <c r="Z62" s="119">
        <f t="shared" si="8"/>
        <v>229.71701753357692</v>
      </c>
      <c r="AA62" s="119">
        <f t="shared" si="9"/>
        <v>1.4875333360330134</v>
      </c>
      <c r="AB62" s="119">
        <f t="shared" si="10"/>
        <v>3.3653968389156881</v>
      </c>
      <c r="AC62" s="119">
        <f t="shared" si="11"/>
        <v>-36.749197206179375</v>
      </c>
      <c r="AD62" s="119">
        <f t="shared" si="12"/>
        <v>5.7249979352808182</v>
      </c>
      <c r="AE62" s="166">
        <f t="shared" si="13"/>
        <v>0.72208215210362425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45"/>
      <c r="AV62" s="145">
        <f>B62*HRT!E62</f>
        <v>678.2300476924629</v>
      </c>
      <c r="AW62" s="145">
        <f>C62*HRT!E62</f>
        <v>69.382274364037642</v>
      </c>
      <c r="AX62" s="145">
        <f>D62*HRT!E62</f>
        <v>313.08969804618124</v>
      </c>
      <c r="AY62" s="145">
        <f>E62*HRT!E62</f>
        <v>541.75045584787711</v>
      </c>
      <c r="AZ62" s="145">
        <f>F62*HRT!E62</f>
        <v>12.467237048837303</v>
      </c>
      <c r="BA62" s="99">
        <f>H62*HRT!E62</f>
        <v>19.738801942795465</v>
      </c>
      <c r="BB62" s="99">
        <f>I62*HRT!E62</f>
        <v>226.94687760199838</v>
      </c>
      <c r="BC62" s="99">
        <f>J62*HRT!E62</f>
        <v>5.6857451403887698</v>
      </c>
      <c r="BD62" s="99">
        <f>K62*HRT!E62</f>
        <v>1.9448416751787536</v>
      </c>
      <c r="BE62" s="99">
        <f>L62*HRT!E62</f>
        <v>792.02451481103162</v>
      </c>
      <c r="BF62" s="99">
        <f>M62*HRT!E62</f>
        <v>5.128757465974739</v>
      </c>
      <c r="BG62" s="99">
        <f>N62*HRT!E62</f>
        <v>11.60330578512397</v>
      </c>
      <c r="BH62" s="99">
        <f>O62*HRT!E62</f>
        <v>2.4896142754856418</v>
      </c>
      <c r="BI62" s="99">
        <f>P62*HRT!E62</f>
        <v>415.04558478770514</v>
      </c>
      <c r="BQ62">
        <f t="shared" si="40"/>
        <v>66.085786229052758</v>
      </c>
    </row>
    <row r="63" spans="1:70">
      <c r="A63" s="187">
        <f>Productivities!A63</f>
        <v>131.17083333333721</v>
      </c>
      <c r="B63" s="143">
        <f>Productivities!B63-Productivities!P63</f>
        <v>199.88998315362326</v>
      </c>
      <c r="C63" s="143">
        <f>Productivities!C63-Productivities!Q63</f>
        <v>20.511919729179063</v>
      </c>
      <c r="D63" s="143">
        <f>Productivities!D63-Productivities!R63</f>
        <v>92.293488152991273</v>
      </c>
      <c r="E63" s="143">
        <f>Productivities!E63</f>
        <v>159.62236221854084</v>
      </c>
      <c r="F63" s="143">
        <f>Productivities!F63</f>
        <v>3.6733699189220865</v>
      </c>
      <c r="G63" s="143">
        <f t="shared" si="14"/>
        <v>475.99112317325654</v>
      </c>
      <c r="H63" s="144">
        <f>Productivities!I63</f>
        <v>5.9246388132268883</v>
      </c>
      <c r="I63" s="144">
        <f>Productivities!J63</f>
        <v>73.159892882923913</v>
      </c>
      <c r="J63" s="144">
        <f>Productivities!K63</f>
        <v>1.4819594655655273</v>
      </c>
      <c r="K63" s="144">
        <f>Productivities!L63</f>
        <v>0.49117008812886459</v>
      </c>
      <c r="L63" s="144">
        <f>Productivities!M63</f>
        <v>218.90776672880574</v>
      </c>
      <c r="M63" s="144">
        <f>Productivities!N63</f>
        <v>1.3501653842887797</v>
      </c>
      <c r="N63" s="144">
        <f>Productivities!O63</f>
        <v>4.6625248125992735</v>
      </c>
      <c r="O63" s="144">
        <f>Productivities!U63-Productivities!G63</f>
        <v>1.3278647541673223</v>
      </c>
      <c r="P63" s="144">
        <f>Productivities!H63</f>
        <v>125.98760084058095</v>
      </c>
      <c r="Q63" s="144">
        <f t="shared" si="15"/>
        <v>433.29358377028728</v>
      </c>
      <c r="R63" s="144">
        <f t="shared" si="16"/>
        <v>300.05347936231209</v>
      </c>
      <c r="S63" s="119">
        <f t="shared" si="1"/>
        <v>-199.88998315362326</v>
      </c>
      <c r="T63" s="166">
        <f t="shared" si="2"/>
        <v>-20.511919729179063</v>
      </c>
      <c r="U63" s="119">
        <f t="shared" si="3"/>
        <v>-92.293488152991273</v>
      </c>
      <c r="V63" s="166">
        <f t="shared" si="4"/>
        <v>-3.6733699189220865</v>
      </c>
      <c r="W63" s="119">
        <f t="shared" si="5"/>
        <v>73.159892882923913</v>
      </c>
      <c r="X63" s="119">
        <f t="shared" si="6"/>
        <v>1.4819594655655273</v>
      </c>
      <c r="Y63" s="119">
        <f t="shared" si="7"/>
        <v>0.49117008812886459</v>
      </c>
      <c r="Z63" s="119">
        <f t="shared" si="8"/>
        <v>218.90776672880574</v>
      </c>
      <c r="AA63" s="119">
        <f t="shared" si="9"/>
        <v>1.3501653842887797</v>
      </c>
      <c r="AB63" s="119">
        <f t="shared" si="10"/>
        <v>4.6625248125992735</v>
      </c>
      <c r="AC63" s="119">
        <f t="shared" si="11"/>
        <v>-33.63476137795989</v>
      </c>
      <c r="AD63" s="119">
        <f t="shared" si="12"/>
        <v>5.9246388132268883</v>
      </c>
      <c r="AE63" s="166">
        <f t="shared" si="13"/>
        <v>1.3278647541673223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45"/>
      <c r="AV63" s="145">
        <f>B63*HRT!E63</f>
        <v>659.57187249350397</v>
      </c>
      <c r="AW63" s="145">
        <f>C63*HRT!E63</f>
        <v>67.682657683819258</v>
      </c>
      <c r="AX63" s="145">
        <f>D63*HRT!E63</f>
        <v>304.53846580817054</v>
      </c>
      <c r="AY63" s="145">
        <f>E63*HRT!E63</f>
        <v>526.70183207432501</v>
      </c>
      <c r="AZ63" s="145">
        <f>F63*HRT!E63</f>
        <v>12.120924908591821</v>
      </c>
      <c r="BA63" s="99">
        <f>H63*HRT!E63</f>
        <v>19.549379384781432</v>
      </c>
      <c r="BB63" s="99">
        <f>I63*HRT!E63</f>
        <v>241.4038301415487</v>
      </c>
      <c r="BC63" s="99">
        <f>J63*HRT!E63</f>
        <v>4.8899838012958963</v>
      </c>
      <c r="BD63" s="99">
        <f>K63*HRT!E63</f>
        <v>1.6207013959822947</v>
      </c>
      <c r="BE63" s="99">
        <f>L63*HRT!E63</f>
        <v>722.32436726818753</v>
      </c>
      <c r="BF63" s="99">
        <f>M63*HRT!E63</f>
        <v>4.4551062371487316</v>
      </c>
      <c r="BG63" s="99">
        <f>N63*HRT!E63</f>
        <v>15.384814049586774</v>
      </c>
      <c r="BH63" s="99">
        <f>O63*HRT!E63</f>
        <v>4.3815214174647439</v>
      </c>
      <c r="BI63" s="99">
        <f>P63*HRT!E63</f>
        <v>415.71806894156458</v>
      </c>
      <c r="BQ63">
        <f t="shared" si="40"/>
        <v>35.988538681948455</v>
      </c>
    </row>
    <row r="64" spans="1:70">
      <c r="A64" s="187">
        <f>Productivities!A64</f>
        <v>132.02500000000146</v>
      </c>
      <c r="B64" s="143">
        <f>Productivities!B64-Productivities!P64</f>
        <v>197.91472715616752</v>
      </c>
      <c r="C64" s="143">
        <f>Productivities!C64-Productivities!Q64</f>
        <v>20.343531131686891</v>
      </c>
      <c r="D64" s="143">
        <f>Productivities!D64-Productivities!R64</f>
        <v>91.353788242688921</v>
      </c>
      <c r="E64" s="143">
        <f>Productivities!E64</f>
        <v>158.10304360301316</v>
      </c>
      <c r="F64" s="143">
        <f>Productivities!F64</f>
        <v>3.6384060252547523</v>
      </c>
      <c r="G64" s="143">
        <f t="shared" si="14"/>
        <v>471.35349615881125</v>
      </c>
      <c r="H64" s="144">
        <f>Productivities!I64</f>
        <v>5.8228884472280438</v>
      </c>
      <c r="I64" s="144">
        <f>Productivities!J64</f>
        <v>72.795959529866963</v>
      </c>
      <c r="J64" s="144">
        <f>Productivities!K64</f>
        <v>1.5231643049087131</v>
      </c>
      <c r="K64" s="144">
        <f>Productivities!L64</f>
        <v>0.51034282535002951</v>
      </c>
      <c r="L64" s="144">
        <f>Productivities!M64</f>
        <v>213.14682730904175</v>
      </c>
      <c r="M64" s="144">
        <f>Productivities!N64</f>
        <v>1.3733188451868683</v>
      </c>
      <c r="N64" s="144">
        <f>Productivities!O64</f>
        <v>5.5732501511950225</v>
      </c>
      <c r="O64" s="144">
        <f>Productivities!U64-Productivities!G64</f>
        <v>-0.22828371058308505</v>
      </c>
      <c r="P64" s="144">
        <f>Productivities!H64</f>
        <v>123.17833988815083</v>
      </c>
      <c r="Q64" s="144">
        <f t="shared" si="15"/>
        <v>423.69580759034517</v>
      </c>
      <c r="R64" s="144">
        <f t="shared" si="16"/>
        <v>294.92286296554931</v>
      </c>
      <c r="S64" s="119">
        <f t="shared" si="1"/>
        <v>-197.91472715616752</v>
      </c>
      <c r="T64" s="166">
        <f t="shared" si="2"/>
        <v>-20.343531131686891</v>
      </c>
      <c r="U64" s="119">
        <f t="shared" si="3"/>
        <v>-91.353788242688921</v>
      </c>
      <c r="V64" s="166">
        <f t="shared" si="4"/>
        <v>-3.6384060252547523</v>
      </c>
      <c r="W64" s="119">
        <f t="shared" si="5"/>
        <v>72.795959529866963</v>
      </c>
      <c r="X64" s="119">
        <f t="shared" si="6"/>
        <v>1.5231643049087131</v>
      </c>
      <c r="Y64" s="119">
        <f t="shared" si="7"/>
        <v>0.51034282535002951</v>
      </c>
      <c r="Z64" s="119">
        <f t="shared" si="8"/>
        <v>213.14682730904175</v>
      </c>
      <c r="AA64" s="119">
        <f t="shared" si="9"/>
        <v>1.3733188451868683</v>
      </c>
      <c r="AB64" s="119">
        <f t="shared" si="10"/>
        <v>5.5732501511950225</v>
      </c>
      <c r="AC64" s="119">
        <f t="shared" si="11"/>
        <v>-34.924703714862332</v>
      </c>
      <c r="AD64" s="119">
        <f t="shared" si="12"/>
        <v>5.8228884472280438</v>
      </c>
      <c r="AE64" s="166">
        <f t="shared" si="13"/>
        <v>-0.22828371058308505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45"/>
      <c r="AV64" s="145">
        <f>B64*HRT!E64</f>
        <v>621.65381899917872</v>
      </c>
      <c r="AW64" s="145">
        <f>C64*HRT!E64</f>
        <v>63.899407596701124</v>
      </c>
      <c r="AX64" s="145">
        <f>D64*HRT!E64</f>
        <v>286.94393872113682</v>
      </c>
      <c r="AY64" s="145">
        <f>E64*HRT!E64</f>
        <v>496.60458452722071</v>
      </c>
      <c r="AZ64" s="145">
        <f>F64*HRT!E64</f>
        <v>11.428300628100859</v>
      </c>
      <c r="BA64" s="99">
        <f>H64*HRT!E64</f>
        <v>18.289800323799245</v>
      </c>
      <c r="BB64" s="99">
        <f>I64*HRT!E64</f>
        <v>228.65345545378852</v>
      </c>
      <c r="BC64" s="99">
        <f>J64*HRT!E64</f>
        <v>4.7842872570194377</v>
      </c>
      <c r="BD64" s="99">
        <f>K64*HRT!E64</f>
        <v>1.6029962546816479</v>
      </c>
      <c r="BE64" s="99">
        <f>L64*HRT!E64</f>
        <v>669.49812734082388</v>
      </c>
      <c r="BF64" s="99">
        <f>M64*HRT!E64</f>
        <v>4.313619896210712</v>
      </c>
      <c r="BG64" s="99">
        <f>N64*HRT!E64</f>
        <v>17.505681818181813</v>
      </c>
      <c r="BH64" s="99">
        <f>O64*HRT!E64</f>
        <v>-0.71704335770475125</v>
      </c>
      <c r="BI64" s="99">
        <f>P64*HRT!E64</f>
        <v>386.90544412607443</v>
      </c>
    </row>
    <row r="65" spans="1:66">
      <c r="A65" s="58"/>
      <c r="F65" s="119"/>
      <c r="G65" s="166"/>
      <c r="H65" s="119"/>
      <c r="I65" s="119"/>
      <c r="J65" s="119"/>
      <c r="K65" s="119"/>
      <c r="L65" s="119"/>
      <c r="M65" s="119"/>
      <c r="N65" s="119"/>
      <c r="O65" s="119"/>
      <c r="P65" s="119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BL65">
        <f>BI57-AY57</f>
        <v>-151.87548840843965</v>
      </c>
    </row>
    <row r="66" spans="1:66">
      <c r="F66" s="119"/>
      <c r="G66" s="166"/>
      <c r="H66" s="119"/>
      <c r="I66" s="119"/>
      <c r="J66" s="119"/>
      <c r="K66" s="119"/>
      <c r="L66" s="119"/>
      <c r="M66" s="119"/>
      <c r="N66" s="119"/>
      <c r="O66" s="119"/>
      <c r="P66" s="119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BL66">
        <f>BI58-AY58</f>
        <v>-154.5431207205545</v>
      </c>
      <c r="BM66">
        <f>AVERAGE(BL65:BL67)</f>
        <v>-161.75273145703858</v>
      </c>
      <c r="BN66">
        <f>STDEVA(BL65:BL67)</f>
        <v>14.857640954834114</v>
      </c>
    </row>
    <row r="67" spans="1:66">
      <c r="F67" s="119"/>
      <c r="G67" s="166"/>
      <c r="H67" s="119"/>
      <c r="I67" s="119"/>
      <c r="J67" s="119"/>
      <c r="K67" s="119"/>
      <c r="L67" s="119"/>
      <c r="M67" s="119"/>
      <c r="N67" s="119"/>
      <c r="O67" s="119"/>
      <c r="P67" s="119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t="s">
        <v>313</v>
      </c>
      <c r="BL67">
        <f>BI59-AY59</f>
        <v>-178.83958524212159</v>
      </c>
    </row>
    <row r="68" spans="1:66"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R68" s="58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58">
        <v>96.150694444448163</v>
      </c>
    </row>
    <row r="69" spans="1:66">
      <c r="Q69" s="58"/>
      <c r="R69" s="58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58">
        <v>98.159722222226264</v>
      </c>
    </row>
    <row r="70" spans="1:66"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R70" s="58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58">
        <v>100.14930555555475</v>
      </c>
    </row>
    <row r="71" spans="1:66">
      <c r="R71" s="58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58">
        <v>103.13680555555766</v>
      </c>
    </row>
    <row r="72" spans="1:66"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R72" s="58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58">
        <v>105.14166666667006</v>
      </c>
    </row>
    <row r="73" spans="1:66">
      <c r="R73" s="58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58">
        <v>107.07916666667006</v>
      </c>
    </row>
    <row r="74" spans="1:66"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R74" s="58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58">
        <v>110.29652777777665</v>
      </c>
    </row>
    <row r="75" spans="1:66">
      <c r="R75" s="58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58">
        <v>112.15347222222044</v>
      </c>
    </row>
    <row r="76" spans="1:66"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R76" s="58"/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58">
        <v>113.1916666666657</v>
      </c>
    </row>
    <row r="77" spans="1:66">
      <c r="R77" s="58"/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58">
        <v>114.2770833333343</v>
      </c>
    </row>
    <row r="78" spans="1:66"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R78" s="58"/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58">
        <v>117.28819444444525</v>
      </c>
    </row>
    <row r="79" spans="1:66">
      <c r="R79" s="58"/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58">
        <v>119.18194444444816</v>
      </c>
    </row>
    <row r="80" spans="1:66">
      <c r="R80" s="58"/>
      <c r="S80" s="166"/>
      <c r="T80" s="166"/>
      <c r="U80" s="166"/>
      <c r="V80" s="166"/>
      <c r="W80" s="166"/>
      <c r="X80" s="166"/>
      <c r="Y80" s="166"/>
      <c r="Z80" s="166"/>
      <c r="AA80" s="166"/>
      <c r="AB80" s="166"/>
      <c r="AC80" s="166"/>
      <c r="AD80" s="166"/>
      <c r="AE80" s="166"/>
      <c r="AF80" s="166"/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58">
        <v>121.20138888889051</v>
      </c>
    </row>
    <row r="81" spans="18:47">
      <c r="R81" s="58"/>
      <c r="S81" s="166"/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58">
        <v>124.17569444444234</v>
      </c>
    </row>
    <row r="82" spans="18:47">
      <c r="R82" s="58"/>
      <c r="S82" s="166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58">
        <v>126.16180555555911</v>
      </c>
    </row>
    <row r="83" spans="18:47">
      <c r="R83" s="58"/>
      <c r="S83" s="166"/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58">
        <v>128.18472222222044</v>
      </c>
    </row>
    <row r="84" spans="18:47">
      <c r="R84" s="58"/>
      <c r="S84" s="166"/>
      <c r="T84" s="166"/>
      <c r="U84" s="166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58">
        <v>131.17083333333721</v>
      </c>
    </row>
    <row r="85" spans="18:47">
      <c r="R85" s="58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58">
        <v>132.02500000000146</v>
      </c>
    </row>
    <row r="86" spans="18:47">
      <c r="R86" s="58"/>
      <c r="S86" s="166"/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</row>
    <row r="87" spans="18:47">
      <c r="R87" s="58"/>
      <c r="S87" s="166"/>
      <c r="T87" s="166"/>
      <c r="U87" s="166"/>
      <c r="V87" s="166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</row>
    <row r="88" spans="18:47">
      <c r="R88" s="58"/>
      <c r="S88" s="166"/>
      <c r="T88" s="166"/>
      <c r="U88" s="166"/>
      <c r="V88" s="166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</row>
  </sheetData>
  <mergeCells count="12">
    <mergeCell ref="AR28:AS28"/>
    <mergeCell ref="AH10:AI10"/>
    <mergeCell ref="AJ10:AK10"/>
    <mergeCell ref="AL10:AM10"/>
    <mergeCell ref="AN10:AO10"/>
    <mergeCell ref="AP10:AQ10"/>
    <mergeCell ref="AR10:AS10"/>
    <mergeCell ref="AH28:AI28"/>
    <mergeCell ref="AJ28:AK28"/>
    <mergeCell ref="AL28:AM28"/>
    <mergeCell ref="AN28:AO28"/>
    <mergeCell ref="AP28:AQ28"/>
  </mergeCells>
  <phoneticPr fontId="2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3D7A8-5CA9-46DE-B25C-4FB3FFD94D0F}">
  <dimension ref="A1:S16"/>
  <sheetViews>
    <sheetView workbookViewId="0">
      <selection activeCell="J23" sqref="J23"/>
    </sheetView>
  </sheetViews>
  <sheetFormatPr defaultRowHeight="15"/>
  <cols>
    <col min="4" max="4" width="11.5703125" bestFit="1" customWidth="1"/>
    <col min="5" max="10" width="11.5703125" customWidth="1"/>
    <col min="12" max="12" width="15" bestFit="1" customWidth="1"/>
    <col min="13" max="14" width="10.7109375" bestFit="1" customWidth="1"/>
    <col min="16" max="18" width="10.7109375" bestFit="1" customWidth="1"/>
    <col min="19" max="19" width="8" bestFit="1" customWidth="1"/>
  </cols>
  <sheetData>
    <row r="1" spans="1:19">
      <c r="A1" t="s">
        <v>300</v>
      </c>
      <c r="B1" t="s">
        <v>301</v>
      </c>
      <c r="L1" t="s">
        <v>292</v>
      </c>
      <c r="M1" t="s">
        <v>200</v>
      </c>
      <c r="N1" t="s">
        <v>200</v>
      </c>
      <c r="P1" t="s">
        <v>293</v>
      </c>
      <c r="Q1" t="s">
        <v>200</v>
      </c>
      <c r="R1" t="s">
        <v>200</v>
      </c>
    </row>
    <row r="2" spans="1:19">
      <c r="A2" t="s">
        <v>299</v>
      </c>
      <c r="B2" t="s">
        <v>297</v>
      </c>
      <c r="C2" t="s">
        <v>298</v>
      </c>
      <c r="D2" t="s">
        <v>294</v>
      </c>
      <c r="E2" t="s">
        <v>303</v>
      </c>
      <c r="G2" t="s">
        <v>299</v>
      </c>
      <c r="K2" t="s">
        <v>176</v>
      </c>
      <c r="L2" t="s">
        <v>288</v>
      </c>
      <c r="M2" t="s">
        <v>289</v>
      </c>
      <c r="N2" t="s">
        <v>290</v>
      </c>
      <c r="P2" t="s">
        <v>288</v>
      </c>
      <c r="Q2" t="s">
        <v>289</v>
      </c>
      <c r="R2" t="s">
        <v>290</v>
      </c>
      <c r="S2" t="s">
        <v>294</v>
      </c>
    </row>
    <row r="3" spans="1:19">
      <c r="A3" t="s">
        <v>295</v>
      </c>
      <c r="B3">
        <v>1570</v>
      </c>
      <c r="C3">
        <v>1605</v>
      </c>
      <c r="D3">
        <v>1588</v>
      </c>
      <c r="E3">
        <v>10</v>
      </c>
      <c r="F3" t="s">
        <v>302</v>
      </c>
      <c r="G3">
        <f>E3*D3/1000</f>
        <v>15.88</v>
      </c>
      <c r="H3" t="s">
        <v>304</v>
      </c>
      <c r="K3" s="58">
        <v>9.2743055555547471</v>
      </c>
      <c r="L3" s="149">
        <v>45443</v>
      </c>
      <c r="M3">
        <v>2446</v>
      </c>
      <c r="N3">
        <v>2448</v>
      </c>
      <c r="P3" s="149">
        <v>45443</v>
      </c>
      <c r="Q3">
        <f>M3*5</f>
        <v>12230</v>
      </c>
      <c r="R3">
        <f>N3*5</f>
        <v>12240</v>
      </c>
      <c r="S3">
        <f>AVERAGE(Q3:R3)</f>
        <v>12235</v>
      </c>
    </row>
    <row r="4" spans="1:19">
      <c r="A4" t="s">
        <v>296</v>
      </c>
      <c r="B4">
        <v>1282</v>
      </c>
      <c r="C4">
        <v>1281</v>
      </c>
      <c r="D4">
        <v>1281</v>
      </c>
      <c r="E4">
        <v>5</v>
      </c>
      <c r="F4" t="s">
        <v>302</v>
      </c>
      <c r="G4">
        <f>E4*D4/1000</f>
        <v>6.4050000000000002</v>
      </c>
      <c r="H4" t="s">
        <v>304</v>
      </c>
      <c r="K4" s="58">
        <v>17.12</v>
      </c>
      <c r="L4" s="149">
        <v>45451</v>
      </c>
      <c r="M4">
        <v>2412</v>
      </c>
      <c r="N4">
        <v>2409</v>
      </c>
      <c r="P4" s="149">
        <v>45451</v>
      </c>
      <c r="Q4">
        <f t="shared" ref="Q4:Q16" si="0">M4*5</f>
        <v>12060</v>
      </c>
      <c r="R4">
        <f t="shared" ref="R4:R15" si="1">N4*5</f>
        <v>12045</v>
      </c>
      <c r="S4">
        <f t="shared" ref="S4:S16" si="2">AVERAGE(Q4:R4)</f>
        <v>12052.5</v>
      </c>
    </row>
    <row r="5" spans="1:19">
      <c r="A5" t="s">
        <v>306</v>
      </c>
      <c r="G5">
        <f>G3+G4</f>
        <v>22.285</v>
      </c>
      <c r="H5" t="s">
        <v>304</v>
      </c>
      <c r="K5" s="58">
        <v>29.15</v>
      </c>
      <c r="L5" s="149">
        <v>45463</v>
      </c>
      <c r="M5">
        <v>2938</v>
      </c>
      <c r="N5">
        <v>2972</v>
      </c>
      <c r="P5" s="149">
        <v>45463</v>
      </c>
      <c r="Q5">
        <f t="shared" si="0"/>
        <v>14690</v>
      </c>
      <c r="R5">
        <f t="shared" si="1"/>
        <v>14860</v>
      </c>
      <c r="S5">
        <f t="shared" si="2"/>
        <v>14775</v>
      </c>
    </row>
    <row r="6" spans="1:19">
      <c r="A6" t="s">
        <v>305</v>
      </c>
      <c r="G6" s="162">
        <f>AVERAGE(Q12:R13)/1000</f>
        <v>20.453749999999999</v>
      </c>
      <c r="H6" t="s">
        <v>304</v>
      </c>
      <c r="K6" s="58">
        <v>46.1</v>
      </c>
      <c r="L6" s="149">
        <v>45480</v>
      </c>
      <c r="M6">
        <v>3685</v>
      </c>
      <c r="N6">
        <v>3737</v>
      </c>
      <c r="P6" s="149">
        <v>45480</v>
      </c>
      <c r="Q6">
        <f t="shared" si="0"/>
        <v>18425</v>
      </c>
      <c r="R6">
        <f t="shared" si="1"/>
        <v>18685</v>
      </c>
      <c r="S6">
        <f t="shared" si="2"/>
        <v>18555</v>
      </c>
    </row>
    <row r="7" spans="1:19">
      <c r="A7" t="s">
        <v>307</v>
      </c>
      <c r="B7" t="s">
        <v>258</v>
      </c>
      <c r="G7" s="140">
        <f>G6/G5</f>
        <v>0.91782589185550811</v>
      </c>
      <c r="K7" s="58">
        <v>54.23</v>
      </c>
      <c r="L7" s="161">
        <v>45488</v>
      </c>
      <c r="M7">
        <v>4494</v>
      </c>
      <c r="N7">
        <v>4517</v>
      </c>
      <c r="P7" s="149">
        <v>45488</v>
      </c>
      <c r="Q7">
        <f t="shared" si="0"/>
        <v>22470</v>
      </c>
      <c r="R7">
        <f t="shared" si="1"/>
        <v>22585</v>
      </c>
      <c r="S7">
        <f t="shared" si="2"/>
        <v>22527.5</v>
      </c>
    </row>
    <row r="8" spans="1:19">
      <c r="A8" t="s">
        <v>308</v>
      </c>
      <c r="G8" s="162">
        <f>AVERAGE('Effluent Concentration'!BS47:BS54)/1000</f>
        <v>19.838140191959926</v>
      </c>
      <c r="H8" t="s">
        <v>304</v>
      </c>
      <c r="K8" s="58">
        <v>62.1</v>
      </c>
      <c r="L8" s="149">
        <v>45496</v>
      </c>
      <c r="M8">
        <v>4494</v>
      </c>
      <c r="N8">
        <v>4507</v>
      </c>
      <c r="P8" s="149">
        <v>45496</v>
      </c>
      <c r="Q8">
        <f t="shared" si="0"/>
        <v>22470</v>
      </c>
      <c r="R8">
        <f t="shared" si="1"/>
        <v>22535</v>
      </c>
      <c r="S8">
        <f t="shared" si="2"/>
        <v>22502.5</v>
      </c>
    </row>
    <row r="9" spans="1:19">
      <c r="A9" t="s">
        <v>309</v>
      </c>
      <c r="G9" s="140">
        <f>G8/G6</f>
        <v>0.96990235003165326</v>
      </c>
      <c r="K9" s="58">
        <v>67.98</v>
      </c>
      <c r="L9" s="149">
        <v>45502</v>
      </c>
      <c r="M9">
        <v>4277</v>
      </c>
      <c r="N9">
        <v>4314</v>
      </c>
      <c r="P9" s="149">
        <v>45502</v>
      </c>
      <c r="Q9">
        <f t="shared" si="0"/>
        <v>21385</v>
      </c>
      <c r="R9">
        <f t="shared" si="1"/>
        <v>21570</v>
      </c>
      <c r="S9">
        <f t="shared" si="2"/>
        <v>21477.5</v>
      </c>
    </row>
    <row r="10" spans="1:19">
      <c r="A10" t="s">
        <v>310</v>
      </c>
      <c r="G10" s="140">
        <f>G8/G5</f>
        <v>0.89020148943055533</v>
      </c>
      <c r="H10" s="58"/>
      <c r="K10" s="58">
        <v>75.150000000000006</v>
      </c>
      <c r="L10" s="161">
        <v>45509</v>
      </c>
      <c r="M10">
        <v>4810</v>
      </c>
      <c r="N10">
        <v>4761</v>
      </c>
      <c r="P10" s="149">
        <v>45509</v>
      </c>
      <c r="Q10">
        <f t="shared" si="0"/>
        <v>24050</v>
      </c>
      <c r="R10">
        <f t="shared" si="1"/>
        <v>23805</v>
      </c>
      <c r="S10" s="119">
        <f t="shared" si="2"/>
        <v>23927.5</v>
      </c>
    </row>
    <row r="11" spans="1:19">
      <c r="K11" s="58">
        <v>84.16</v>
      </c>
      <c r="L11" s="149">
        <v>45518</v>
      </c>
      <c r="M11">
        <v>4848</v>
      </c>
      <c r="N11">
        <v>4817</v>
      </c>
      <c r="P11" s="149">
        <v>45518</v>
      </c>
      <c r="Q11">
        <f t="shared" si="0"/>
        <v>24240</v>
      </c>
      <c r="R11">
        <f t="shared" si="1"/>
        <v>24085</v>
      </c>
      <c r="S11" s="119">
        <f t="shared" si="2"/>
        <v>24162.5</v>
      </c>
    </row>
    <row r="12" spans="1:19">
      <c r="K12" s="58">
        <v>95.15</v>
      </c>
      <c r="L12" s="161">
        <v>45529</v>
      </c>
      <c r="M12">
        <v>4085</v>
      </c>
      <c r="N12">
        <v>4096</v>
      </c>
      <c r="P12" s="149">
        <v>45529</v>
      </c>
      <c r="Q12" s="86">
        <f t="shared" si="0"/>
        <v>20425</v>
      </c>
      <c r="R12" s="86">
        <f t="shared" si="1"/>
        <v>20480</v>
      </c>
      <c r="S12" s="150">
        <f t="shared" si="2"/>
        <v>20452.5</v>
      </c>
    </row>
    <row r="13" spans="1:19">
      <c r="K13" s="58">
        <v>103.14</v>
      </c>
      <c r="L13" s="149">
        <v>45537</v>
      </c>
      <c r="M13">
        <v>4107</v>
      </c>
      <c r="N13">
        <v>4075</v>
      </c>
      <c r="P13" s="149">
        <v>45537</v>
      </c>
      <c r="Q13" s="86">
        <f t="shared" si="0"/>
        <v>20535</v>
      </c>
      <c r="R13" s="86">
        <f t="shared" si="1"/>
        <v>20375</v>
      </c>
      <c r="S13" s="150">
        <f t="shared" si="2"/>
        <v>20455</v>
      </c>
    </row>
    <row r="14" spans="1:19">
      <c r="K14" s="58">
        <v>112.15</v>
      </c>
      <c r="L14" s="161">
        <v>45546</v>
      </c>
      <c r="M14">
        <v>6769</v>
      </c>
      <c r="N14">
        <v>6774</v>
      </c>
      <c r="P14" s="149">
        <v>45546</v>
      </c>
      <c r="Q14">
        <f t="shared" si="0"/>
        <v>33845</v>
      </c>
      <c r="R14">
        <f t="shared" si="1"/>
        <v>33870</v>
      </c>
      <c r="S14">
        <f t="shared" si="2"/>
        <v>33857.5</v>
      </c>
    </row>
    <row r="15" spans="1:19">
      <c r="K15" s="58">
        <v>121.2</v>
      </c>
      <c r="L15" s="149">
        <v>45555</v>
      </c>
      <c r="M15">
        <v>6906</v>
      </c>
      <c r="N15">
        <v>6827</v>
      </c>
      <c r="P15" s="149">
        <v>45555</v>
      </c>
      <c r="Q15">
        <f t="shared" si="0"/>
        <v>34530</v>
      </c>
      <c r="R15">
        <f t="shared" si="1"/>
        <v>34135</v>
      </c>
      <c r="S15">
        <f t="shared" si="2"/>
        <v>34332.5</v>
      </c>
    </row>
    <row r="16" spans="1:19">
      <c r="K16" t="s">
        <v>291</v>
      </c>
      <c r="L16" s="149">
        <v>45566</v>
      </c>
      <c r="M16">
        <v>6684</v>
      </c>
      <c r="N16">
        <v>6675</v>
      </c>
      <c r="P16" s="149">
        <v>45566</v>
      </c>
      <c r="Q16">
        <f t="shared" si="0"/>
        <v>33420</v>
      </c>
      <c r="R16">
        <f>N16*5</f>
        <v>33375</v>
      </c>
      <c r="S16">
        <f t="shared" si="2"/>
        <v>33397.5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659A4-CCAD-45F0-8DAE-FC7C92082E48}">
  <dimension ref="B2:M14"/>
  <sheetViews>
    <sheetView topLeftCell="A2" zoomScale="98" zoomScaleNormal="145" workbookViewId="0">
      <selection activeCell="E13" sqref="E13"/>
    </sheetView>
  </sheetViews>
  <sheetFormatPr defaultColWidth="9" defaultRowHeight="15"/>
  <cols>
    <col min="3" max="3" width="18.140625" customWidth="1"/>
    <col min="4" max="4" width="14.28515625" customWidth="1"/>
    <col min="5" max="5" width="36.28515625" customWidth="1"/>
    <col min="6" max="6" width="16.28515625" customWidth="1"/>
    <col min="7" max="7" width="33.85546875" customWidth="1"/>
    <col min="8" max="8" width="17.42578125" customWidth="1"/>
    <col min="9" max="9" width="16.85546875" customWidth="1"/>
    <col min="10" max="10" width="16" customWidth="1"/>
    <col min="11" max="11" width="17.28515625" customWidth="1"/>
    <col min="12" max="12" width="39.42578125" style="12" customWidth="1"/>
  </cols>
  <sheetData>
    <row r="2" spans="2:13" ht="26.25">
      <c r="B2" s="240" t="s">
        <v>38</v>
      </c>
      <c r="C2" s="240"/>
      <c r="D2" s="240"/>
      <c r="E2" s="240"/>
      <c r="F2" s="240"/>
      <c r="G2" s="240"/>
      <c r="H2" s="240"/>
      <c r="I2" s="240"/>
      <c r="J2" s="240"/>
      <c r="K2" s="240"/>
    </row>
    <row r="3" spans="2:13" s="14" customFormat="1" ht="36" customHeight="1">
      <c r="B3" s="241" t="s">
        <v>39</v>
      </c>
      <c r="C3" s="241" t="s">
        <v>40</v>
      </c>
      <c r="D3" s="241" t="s">
        <v>41</v>
      </c>
      <c r="E3" s="13" t="s">
        <v>42</v>
      </c>
      <c r="F3" s="241" t="s">
        <v>43</v>
      </c>
      <c r="G3" s="241" t="s">
        <v>44</v>
      </c>
      <c r="H3" s="241" t="s">
        <v>45</v>
      </c>
      <c r="I3" s="241" t="s">
        <v>46</v>
      </c>
      <c r="J3" s="241" t="s">
        <v>47</v>
      </c>
      <c r="K3" s="243" t="s">
        <v>48</v>
      </c>
      <c r="L3" s="36"/>
    </row>
    <row r="4" spans="2:13" s="14" customFormat="1" ht="31.5" customHeight="1">
      <c r="B4" s="242"/>
      <c r="C4" s="242"/>
      <c r="D4" s="242"/>
      <c r="E4" s="13" t="s">
        <v>49</v>
      </c>
      <c r="F4" s="242"/>
      <c r="G4" s="242"/>
      <c r="H4" s="242"/>
      <c r="I4" s="242"/>
      <c r="J4" s="242"/>
      <c r="K4" s="243"/>
      <c r="L4" s="37"/>
    </row>
    <row r="5" spans="2:13" ht="56.25" customHeight="1">
      <c r="B5" s="15">
        <v>1</v>
      </c>
      <c r="C5" s="15" t="s">
        <v>50</v>
      </c>
      <c r="D5" s="15" t="s">
        <v>51</v>
      </c>
      <c r="E5" s="16" t="s">
        <v>52</v>
      </c>
      <c r="F5" s="15" t="s">
        <v>53</v>
      </c>
      <c r="G5" s="15" t="s">
        <v>54</v>
      </c>
      <c r="H5" s="17" t="s">
        <v>55</v>
      </c>
      <c r="I5" s="18" t="s">
        <v>56</v>
      </c>
      <c r="J5" s="19" t="s">
        <v>57</v>
      </c>
      <c r="K5" s="35" t="s">
        <v>58</v>
      </c>
      <c r="L5" s="38"/>
      <c r="M5" s="20"/>
    </row>
    <row r="6" spans="2:13" ht="51" customHeight="1">
      <c r="B6" s="15">
        <v>2</v>
      </c>
      <c r="C6" s="15" t="s">
        <v>59</v>
      </c>
      <c r="D6" s="15">
        <v>5.9</v>
      </c>
      <c r="E6" s="16" t="s">
        <v>52</v>
      </c>
      <c r="F6" s="15" t="s">
        <v>60</v>
      </c>
      <c r="G6" s="15" t="s">
        <v>61</v>
      </c>
      <c r="H6" s="17" t="s">
        <v>55</v>
      </c>
      <c r="I6" s="21" t="s">
        <v>62</v>
      </c>
      <c r="J6" s="19" t="s">
        <v>63</v>
      </c>
      <c r="K6" s="35" t="s">
        <v>64</v>
      </c>
      <c r="L6" s="38"/>
      <c r="M6" s="20"/>
    </row>
    <row r="7" spans="2:13" ht="58.5" customHeight="1">
      <c r="B7" s="15">
        <v>3</v>
      </c>
      <c r="C7" s="15" t="s">
        <v>59</v>
      </c>
      <c r="D7" s="15">
        <v>5.9</v>
      </c>
      <c r="E7" s="16" t="s">
        <v>65</v>
      </c>
      <c r="F7" s="15" t="s">
        <v>60</v>
      </c>
      <c r="G7" s="15" t="s">
        <v>66</v>
      </c>
      <c r="H7" s="17" t="s">
        <v>55</v>
      </c>
      <c r="I7" s="21" t="s">
        <v>67</v>
      </c>
      <c r="J7" s="22" t="s">
        <v>68</v>
      </c>
      <c r="K7" s="35" t="s">
        <v>69</v>
      </c>
      <c r="L7" s="38"/>
      <c r="M7" s="20"/>
    </row>
    <row r="8" spans="2:13" ht="65.25" customHeight="1">
      <c r="B8" s="15">
        <v>4</v>
      </c>
      <c r="C8" s="15" t="s">
        <v>59</v>
      </c>
      <c r="D8" s="15">
        <v>5.9</v>
      </c>
      <c r="E8" s="16" t="s">
        <v>70</v>
      </c>
      <c r="F8" s="15" t="s">
        <v>60</v>
      </c>
      <c r="G8" s="15" t="s">
        <v>71</v>
      </c>
      <c r="H8" s="17" t="s">
        <v>55</v>
      </c>
      <c r="I8" s="21" t="s">
        <v>72</v>
      </c>
      <c r="J8" s="22" t="s">
        <v>73</v>
      </c>
      <c r="K8" s="35" t="s">
        <v>74</v>
      </c>
      <c r="L8" s="38"/>
      <c r="M8" s="20"/>
    </row>
    <row r="9" spans="2:13" ht="58.5" customHeight="1">
      <c r="B9" s="15">
        <v>5</v>
      </c>
      <c r="C9" s="15" t="s">
        <v>59</v>
      </c>
      <c r="D9" s="15">
        <v>5.9</v>
      </c>
      <c r="E9" s="16" t="s">
        <v>75</v>
      </c>
      <c r="F9" s="15" t="s">
        <v>60</v>
      </c>
      <c r="G9" s="15" t="s">
        <v>76</v>
      </c>
      <c r="H9" s="17" t="s">
        <v>55</v>
      </c>
      <c r="I9" s="21" t="s">
        <v>77</v>
      </c>
      <c r="J9" s="22">
        <v>45420</v>
      </c>
      <c r="K9" s="35" t="s">
        <v>78</v>
      </c>
      <c r="L9" s="38"/>
      <c r="M9" s="20"/>
    </row>
    <row r="10" spans="2:13" ht="50.25" customHeight="1">
      <c r="B10" s="23">
        <v>6</v>
      </c>
      <c r="C10" s="15" t="s">
        <v>59</v>
      </c>
      <c r="D10" s="23">
        <v>5.9</v>
      </c>
      <c r="E10" s="24" t="s">
        <v>75</v>
      </c>
      <c r="F10" s="23" t="s">
        <v>79</v>
      </c>
      <c r="G10" s="25" t="s">
        <v>80</v>
      </c>
      <c r="H10" s="26" t="s">
        <v>55</v>
      </c>
      <c r="I10" s="27" t="s">
        <v>81</v>
      </c>
      <c r="J10" s="28" t="s">
        <v>82</v>
      </c>
      <c r="K10" s="35" t="s">
        <v>83</v>
      </c>
      <c r="L10" s="38"/>
      <c r="M10" s="20"/>
    </row>
    <row r="11" spans="2:13" ht="62.25" customHeight="1">
      <c r="B11" s="29">
        <v>7</v>
      </c>
      <c r="C11" s="23" t="s">
        <v>59</v>
      </c>
      <c r="D11" s="23">
        <v>5.9</v>
      </c>
      <c r="E11" s="24" t="s">
        <v>84</v>
      </c>
      <c r="F11" s="15" t="s">
        <v>60</v>
      </c>
      <c r="G11" s="25" t="s">
        <v>85</v>
      </c>
      <c r="H11" s="26" t="s">
        <v>55</v>
      </c>
      <c r="I11" s="30"/>
      <c r="J11" s="22">
        <v>45635</v>
      </c>
      <c r="K11" s="35" t="s">
        <v>86</v>
      </c>
      <c r="L11" s="38"/>
      <c r="M11" s="20"/>
    </row>
    <row r="12" spans="2:13" ht="36.75" customHeight="1">
      <c r="B12" s="31"/>
      <c r="C12" s="31"/>
      <c r="D12" s="31"/>
      <c r="E12" s="31"/>
      <c r="F12" s="31"/>
      <c r="G12" s="31"/>
      <c r="H12" s="31"/>
      <c r="I12" s="32"/>
    </row>
    <row r="13" spans="2:13" ht="36" customHeight="1">
      <c r="B13" s="33"/>
      <c r="C13" s="33"/>
      <c r="D13" s="33"/>
      <c r="E13" s="33" t="s">
        <v>352</v>
      </c>
      <c r="F13" s="33"/>
      <c r="G13" s="33"/>
      <c r="H13" s="33"/>
      <c r="I13" s="34"/>
    </row>
    <row r="14" spans="2:13">
      <c r="C14" s="14"/>
      <c r="D14" s="14"/>
      <c r="E14" s="14"/>
      <c r="F14" s="14"/>
      <c r="G14" s="14"/>
      <c r="H14" s="14"/>
      <c r="I14" s="14"/>
    </row>
  </sheetData>
  <mergeCells count="10">
    <mergeCell ref="B2:K2"/>
    <mergeCell ref="B3:B4"/>
    <mergeCell ref="C3:C4"/>
    <mergeCell ref="D3:D4"/>
    <mergeCell ref="F3:F4"/>
    <mergeCell ref="G3:G4"/>
    <mergeCell ref="H3:H4"/>
    <mergeCell ref="I3:I4"/>
    <mergeCell ref="J3:J4"/>
    <mergeCell ref="K3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A1EB5-D8CB-41A4-8E3C-CA3D52BBD16B}">
  <dimension ref="A1:AR67"/>
  <sheetViews>
    <sheetView tabSelected="1" zoomScale="96" zoomScaleNormal="96" workbookViewId="0">
      <pane xSplit="4" ySplit="3" topLeftCell="E8" activePane="bottomRight" state="frozen"/>
      <selection pane="topRight" activeCell="E1" sqref="E1"/>
      <selection pane="bottomLeft" activeCell="A4" sqref="A4"/>
      <selection pane="bottomRight" activeCell="S12" sqref="S12"/>
    </sheetView>
  </sheetViews>
  <sheetFormatPr defaultColWidth="9" defaultRowHeight="18.75"/>
  <cols>
    <col min="1" max="1" width="25" style="39" customWidth="1"/>
    <col min="2" max="2" width="9" style="39"/>
    <col min="3" max="3" width="15.7109375" style="39" bestFit="1" customWidth="1"/>
    <col min="4" max="5" width="14.42578125" style="39" customWidth="1"/>
    <col min="6" max="6" width="11.42578125" style="39" customWidth="1"/>
    <col min="7" max="7" width="11.5703125" style="39" customWidth="1"/>
    <col min="8" max="8" width="12.28515625" style="39" customWidth="1"/>
    <col min="9" max="9" width="8.140625" style="40" bestFit="1" customWidth="1"/>
    <col min="10" max="10" width="9.5703125" style="39" customWidth="1"/>
    <col min="11" max="12" width="11.85546875" style="39" customWidth="1"/>
    <col min="13" max="13" width="11.28515625" style="39" customWidth="1"/>
    <col min="14" max="14" width="10.85546875" style="39" customWidth="1"/>
    <col min="15" max="15" width="12" style="39" customWidth="1"/>
    <col min="16" max="16" width="12.42578125" style="43" customWidth="1"/>
    <col min="17" max="17" width="15.7109375" style="43" customWidth="1"/>
    <col min="18" max="19" width="14.42578125" style="39" customWidth="1"/>
    <col min="20" max="20" width="15" style="39" customWidth="1"/>
    <col min="21" max="21" width="10.140625" style="39" bestFit="1" customWidth="1"/>
    <col min="22" max="22" width="16.5703125" style="43" customWidth="1"/>
    <col min="23" max="23" width="121" style="41" customWidth="1"/>
    <col min="24" max="24" width="23" style="42" customWidth="1"/>
    <col min="25" max="25" width="10.85546875" style="43" bestFit="1" customWidth="1"/>
    <col min="26" max="26" width="17.140625" style="43" customWidth="1"/>
    <col min="27" max="16384" width="9" style="39"/>
  </cols>
  <sheetData>
    <row r="1" spans="1:44">
      <c r="P1" s="39"/>
      <c r="Q1" s="39"/>
      <c r="V1" s="39"/>
    </row>
    <row r="2" spans="1:44">
      <c r="P2" s="39"/>
      <c r="Q2" s="39"/>
      <c r="V2" s="39"/>
    </row>
    <row r="3" spans="1:44" s="44" customFormat="1" ht="56.25">
      <c r="A3" s="44" t="s">
        <v>87</v>
      </c>
      <c r="B3" s="44" t="s">
        <v>88</v>
      </c>
      <c r="C3" s="44" t="s">
        <v>89</v>
      </c>
      <c r="D3" s="44" t="s">
        <v>90</v>
      </c>
      <c r="E3" s="44" t="s">
        <v>91</v>
      </c>
      <c r="F3" s="44" t="s">
        <v>92</v>
      </c>
      <c r="G3" s="44" t="s">
        <v>93</v>
      </c>
      <c r="H3" s="44" t="s">
        <v>94</v>
      </c>
      <c r="I3" s="45" t="s">
        <v>95</v>
      </c>
      <c r="J3" s="44" t="s">
        <v>96</v>
      </c>
      <c r="K3" s="44" t="s">
        <v>97</v>
      </c>
      <c r="L3" s="44" t="s">
        <v>175</v>
      </c>
      <c r="M3" s="44" t="s">
        <v>98</v>
      </c>
      <c r="N3" s="44" t="s">
        <v>99</v>
      </c>
      <c r="O3" s="44" t="s">
        <v>100</v>
      </c>
      <c r="P3" s="44" t="s">
        <v>101</v>
      </c>
      <c r="Q3" s="44" t="s">
        <v>102</v>
      </c>
      <c r="R3" s="44" t="s">
        <v>103</v>
      </c>
      <c r="S3" s="44" t="s">
        <v>104</v>
      </c>
      <c r="T3" s="44" t="s">
        <v>105</v>
      </c>
      <c r="U3" s="44" t="s">
        <v>106</v>
      </c>
      <c r="V3" s="44" t="s">
        <v>107</v>
      </c>
      <c r="W3" s="44" t="s">
        <v>108</v>
      </c>
      <c r="X3" s="46" t="s">
        <v>109</v>
      </c>
      <c r="Y3" s="47" t="s">
        <v>110</v>
      </c>
      <c r="Z3" s="47"/>
    </row>
    <row r="4" spans="1:44" ht="42" customHeight="1">
      <c r="B4" s="39">
        <v>1</v>
      </c>
      <c r="C4" s="48">
        <v>45432</v>
      </c>
      <c r="D4" s="49">
        <v>0.6875</v>
      </c>
      <c r="E4" s="39">
        <v>6.3</v>
      </c>
      <c r="F4" s="39">
        <v>5.9</v>
      </c>
      <c r="G4" s="39">
        <v>0</v>
      </c>
      <c r="H4" s="39">
        <v>0</v>
      </c>
      <c r="I4" s="50">
        <v>1500</v>
      </c>
      <c r="J4" s="39">
        <v>35</v>
      </c>
      <c r="K4" s="39">
        <v>1264</v>
      </c>
      <c r="M4" s="39">
        <v>1338</v>
      </c>
      <c r="N4" s="39">
        <v>45</v>
      </c>
      <c r="O4" s="39">
        <v>5</v>
      </c>
      <c r="P4" s="39">
        <v>0</v>
      </c>
      <c r="Q4" s="39">
        <v>0</v>
      </c>
      <c r="R4" s="39">
        <v>0</v>
      </c>
      <c r="S4" s="39">
        <v>1500</v>
      </c>
      <c r="T4" s="39">
        <v>0</v>
      </c>
      <c r="V4" s="39"/>
      <c r="W4" s="41" t="s">
        <v>111</v>
      </c>
      <c r="X4" s="42">
        <f t="shared" ref="X4:X66" si="0">C4+D4</f>
        <v>45432.6875</v>
      </c>
      <c r="Y4" s="43">
        <v>0</v>
      </c>
      <c r="AN4" s="51" t="s">
        <v>48</v>
      </c>
      <c r="AO4" s="51" t="s">
        <v>112</v>
      </c>
      <c r="AP4" s="51" t="s">
        <v>113</v>
      </c>
      <c r="AQ4" s="51" t="s">
        <v>114</v>
      </c>
      <c r="AR4" s="52" t="s">
        <v>115</v>
      </c>
    </row>
    <row r="5" spans="1:44" ht="42" customHeight="1">
      <c r="A5" s="53" t="s">
        <v>116</v>
      </c>
      <c r="B5" s="53">
        <v>2</v>
      </c>
      <c r="C5" s="54">
        <v>45434</v>
      </c>
      <c r="D5" s="49">
        <v>0.39930555555555558</v>
      </c>
      <c r="E5" s="39">
        <v>6.3</v>
      </c>
      <c r="F5" s="39">
        <v>5.95</v>
      </c>
      <c r="G5" s="39">
        <v>0</v>
      </c>
      <c r="H5" s="39">
        <v>0</v>
      </c>
      <c r="I5" s="50">
        <v>1500</v>
      </c>
      <c r="J5" s="39">
        <v>35</v>
      </c>
      <c r="K5" s="39">
        <v>1264</v>
      </c>
      <c r="M5" s="39">
        <v>1338</v>
      </c>
      <c r="N5" s="39">
        <v>45</v>
      </c>
      <c r="O5" s="39">
        <v>5</v>
      </c>
      <c r="P5" s="39">
        <v>0</v>
      </c>
      <c r="Q5" s="39">
        <v>0</v>
      </c>
      <c r="R5" s="39">
        <v>0</v>
      </c>
      <c r="T5" s="39">
        <v>0</v>
      </c>
      <c r="V5" s="39"/>
      <c r="W5" s="41" t="s">
        <v>117</v>
      </c>
      <c r="X5" s="42">
        <f t="shared" si="0"/>
        <v>45434.399305555555</v>
      </c>
      <c r="Y5" s="160">
        <v>0</v>
      </c>
      <c r="AN5" s="51">
        <v>0</v>
      </c>
      <c r="AO5" s="51">
        <v>5.9</v>
      </c>
      <c r="AP5" s="51"/>
      <c r="AQ5" s="51"/>
      <c r="AR5" s="52"/>
    </row>
    <row r="6" spans="1:44" ht="42" customHeight="1">
      <c r="A6" s="39" t="s">
        <v>118</v>
      </c>
      <c r="B6" s="39">
        <v>3</v>
      </c>
      <c r="C6" s="48">
        <v>45436</v>
      </c>
      <c r="D6" s="49">
        <v>0.37847222222222227</v>
      </c>
      <c r="E6" s="39">
        <v>6.3</v>
      </c>
      <c r="F6" s="39">
        <v>5.9</v>
      </c>
      <c r="G6" s="39">
        <v>89695</v>
      </c>
      <c r="H6" s="39">
        <v>2847</v>
      </c>
      <c r="I6" s="50">
        <v>1500</v>
      </c>
      <c r="J6" s="39">
        <v>35</v>
      </c>
      <c r="K6" s="39">
        <v>1262</v>
      </c>
      <c r="M6" s="39">
        <v>1331</v>
      </c>
      <c r="N6" s="39">
        <v>45</v>
      </c>
      <c r="O6" s="39">
        <v>5</v>
      </c>
      <c r="P6" s="39">
        <v>0</v>
      </c>
      <c r="Q6" s="39">
        <v>0</v>
      </c>
      <c r="R6" s="39">
        <v>0</v>
      </c>
      <c r="T6" s="39">
        <v>0</v>
      </c>
      <c r="V6" s="39"/>
      <c r="X6" s="42">
        <f t="shared" si="0"/>
        <v>45436.378472222219</v>
      </c>
      <c r="Y6" s="43">
        <f>X6-$X$5</f>
        <v>1.9791666666642413</v>
      </c>
      <c r="AN6" s="51">
        <v>100</v>
      </c>
      <c r="AO6" s="51">
        <v>5.9</v>
      </c>
      <c r="AP6" s="51"/>
      <c r="AQ6" s="51"/>
      <c r="AR6" s="52"/>
    </row>
    <row r="7" spans="1:44" ht="42" customHeight="1">
      <c r="B7" s="39">
        <v>4</v>
      </c>
      <c r="C7" s="48">
        <v>45439</v>
      </c>
      <c r="D7" s="49">
        <v>0.40277777777777773</v>
      </c>
      <c r="E7" s="39">
        <v>6.3</v>
      </c>
      <c r="F7" s="39">
        <v>5.79</v>
      </c>
      <c r="G7" s="39">
        <v>225706</v>
      </c>
      <c r="H7" s="39">
        <v>7200</v>
      </c>
      <c r="I7" s="50">
        <v>1500</v>
      </c>
      <c r="J7" s="39">
        <v>35</v>
      </c>
      <c r="K7" s="39">
        <v>1223</v>
      </c>
      <c r="M7" s="39">
        <v>1326</v>
      </c>
      <c r="N7" s="39">
        <v>45</v>
      </c>
      <c r="O7" s="39">
        <v>5</v>
      </c>
      <c r="P7" s="39">
        <v>0</v>
      </c>
      <c r="Q7" s="39">
        <v>0</v>
      </c>
      <c r="R7" s="39">
        <v>0</v>
      </c>
      <c r="T7" s="39">
        <v>0</v>
      </c>
      <c r="V7" s="39"/>
      <c r="X7" s="42">
        <f t="shared" si="0"/>
        <v>45439.402777777781</v>
      </c>
      <c r="Y7" s="43">
        <f t="shared" ref="Y7:Y65" si="1">X7-$X$5</f>
        <v>5.0034722222262644</v>
      </c>
      <c r="AN7" s="51"/>
      <c r="AO7" s="51"/>
      <c r="AP7" s="51"/>
      <c r="AQ7" s="51"/>
      <c r="AR7" s="52"/>
    </row>
    <row r="8" spans="1:44" ht="42" customHeight="1">
      <c r="B8" s="39">
        <v>5</v>
      </c>
      <c r="C8" s="48">
        <v>45441</v>
      </c>
      <c r="D8" s="49">
        <v>0.4152777777777778</v>
      </c>
      <c r="E8" s="39">
        <v>6.3</v>
      </c>
      <c r="F8" s="39">
        <v>5.77</v>
      </c>
      <c r="G8" s="39">
        <v>313955</v>
      </c>
      <c r="H8" s="39">
        <v>10096</v>
      </c>
      <c r="I8" s="50">
        <v>1500</v>
      </c>
      <c r="J8" s="39">
        <v>35</v>
      </c>
      <c r="K8" s="39">
        <v>1217</v>
      </c>
      <c r="M8" s="39">
        <v>1322</v>
      </c>
      <c r="N8" s="39">
        <v>45</v>
      </c>
      <c r="O8" s="39">
        <v>5</v>
      </c>
      <c r="P8" s="39">
        <v>0</v>
      </c>
      <c r="Q8" s="39">
        <v>0</v>
      </c>
      <c r="R8" s="39">
        <v>0</v>
      </c>
      <c r="T8" s="39">
        <v>0</v>
      </c>
      <c r="V8" s="39">
        <v>9.42</v>
      </c>
      <c r="W8" s="41" t="s">
        <v>119</v>
      </c>
      <c r="X8" s="42">
        <f t="shared" si="0"/>
        <v>45441.415277777778</v>
      </c>
      <c r="Y8" s="43">
        <f t="shared" si="1"/>
        <v>7.015972222223354</v>
      </c>
      <c r="AN8" s="51">
        <v>9.27</v>
      </c>
      <c r="AO8" s="51">
        <v>0</v>
      </c>
      <c r="AP8" s="51">
        <v>0</v>
      </c>
      <c r="AQ8" s="51">
        <v>0</v>
      </c>
      <c r="AR8" s="52">
        <v>0</v>
      </c>
    </row>
    <row r="9" spans="1:44" ht="42" customHeight="1">
      <c r="B9" s="39">
        <v>6</v>
      </c>
      <c r="C9" s="48">
        <v>45443</v>
      </c>
      <c r="D9" s="49">
        <v>0.48749999999999999</v>
      </c>
      <c r="E9" s="39">
        <v>6.5</v>
      </c>
      <c r="F9" s="39">
        <v>5.94</v>
      </c>
      <c r="G9" s="39">
        <v>405321</v>
      </c>
      <c r="H9" s="39">
        <v>13079</v>
      </c>
      <c r="I9" s="50">
        <v>1500</v>
      </c>
      <c r="J9" s="39">
        <v>35</v>
      </c>
      <c r="K9" s="39">
        <v>1212</v>
      </c>
      <c r="M9" s="39">
        <v>1321</v>
      </c>
      <c r="N9" s="39">
        <v>45</v>
      </c>
      <c r="O9" s="39">
        <v>5</v>
      </c>
      <c r="P9" s="39">
        <v>0</v>
      </c>
      <c r="Q9" s="39">
        <v>0</v>
      </c>
      <c r="R9" s="39">
        <v>0</v>
      </c>
      <c r="T9" s="39">
        <v>0</v>
      </c>
      <c r="V9" s="39">
        <v>9.85</v>
      </c>
      <c r="W9" s="41" t="s">
        <v>120</v>
      </c>
      <c r="X9" s="42">
        <f t="shared" si="0"/>
        <v>45443.487500000003</v>
      </c>
      <c r="Y9" s="43">
        <f t="shared" si="1"/>
        <v>9.0881944444481633</v>
      </c>
      <c r="AN9" s="51">
        <v>9.27</v>
      </c>
      <c r="AO9" s="51">
        <v>50</v>
      </c>
      <c r="AP9" s="51">
        <v>4</v>
      </c>
      <c r="AQ9" s="51">
        <v>35</v>
      </c>
      <c r="AR9" s="52">
        <v>16</v>
      </c>
    </row>
    <row r="10" spans="1:44" ht="58.5" customHeight="1">
      <c r="A10" s="53" t="s">
        <v>121</v>
      </c>
      <c r="B10" s="53">
        <v>7</v>
      </c>
      <c r="C10" s="54">
        <v>45443</v>
      </c>
      <c r="D10" s="49">
        <v>0.67361111111111116</v>
      </c>
      <c r="E10" s="39">
        <v>6.3</v>
      </c>
      <c r="F10" s="39">
        <v>5.89</v>
      </c>
      <c r="G10" s="39">
        <v>413561</v>
      </c>
      <c r="H10" s="39">
        <v>13357</v>
      </c>
      <c r="I10" s="50">
        <v>1500</v>
      </c>
      <c r="J10" s="39">
        <v>35</v>
      </c>
      <c r="K10" s="39">
        <v>1213</v>
      </c>
      <c r="M10" s="39">
        <v>1322</v>
      </c>
      <c r="N10" s="39">
        <v>45</v>
      </c>
      <c r="O10" s="39">
        <v>5</v>
      </c>
      <c r="P10" s="39">
        <v>1.59</v>
      </c>
      <c r="Q10" s="39">
        <v>1.66</v>
      </c>
      <c r="R10" s="39">
        <v>5477</v>
      </c>
      <c r="T10" s="39">
        <v>630.1</v>
      </c>
      <c r="V10" s="39">
        <v>9.42</v>
      </c>
      <c r="W10" s="41" t="s">
        <v>122</v>
      </c>
      <c r="X10" s="42">
        <f t="shared" si="0"/>
        <v>45443.673611111109</v>
      </c>
      <c r="Y10" s="160">
        <f t="shared" si="1"/>
        <v>9.2743055555547471</v>
      </c>
      <c r="AN10" s="51"/>
      <c r="AO10" s="51"/>
      <c r="AP10" s="51"/>
      <c r="AQ10" s="51"/>
      <c r="AR10" s="52"/>
    </row>
    <row r="11" spans="1:44" ht="42" customHeight="1">
      <c r="A11" s="39" t="s">
        <v>123</v>
      </c>
      <c r="B11" s="39">
        <v>8</v>
      </c>
      <c r="C11" s="48">
        <v>45446</v>
      </c>
      <c r="D11" s="49">
        <v>0.3923611111111111</v>
      </c>
      <c r="E11" s="39">
        <v>6.3</v>
      </c>
      <c r="F11" s="39">
        <v>5.9</v>
      </c>
      <c r="G11" s="39">
        <v>537235</v>
      </c>
      <c r="H11" s="39">
        <v>17258</v>
      </c>
      <c r="I11" s="50">
        <v>1450</v>
      </c>
      <c r="J11" s="39">
        <v>35</v>
      </c>
      <c r="K11" s="39">
        <v>1168</v>
      </c>
      <c r="M11" s="39">
        <v>1319</v>
      </c>
      <c r="N11" s="39">
        <v>45</v>
      </c>
      <c r="O11" s="39">
        <v>5</v>
      </c>
      <c r="P11" s="39">
        <v>1.59</v>
      </c>
      <c r="Q11" s="39">
        <v>1.66</v>
      </c>
      <c r="R11" s="39">
        <v>4219.6000000000004</v>
      </c>
      <c r="T11" s="39">
        <v>1939.1</v>
      </c>
      <c r="V11" s="39">
        <v>2.7</v>
      </c>
      <c r="W11" s="41" t="s">
        <v>124</v>
      </c>
      <c r="X11" s="42">
        <f t="shared" si="0"/>
        <v>45446.392361111109</v>
      </c>
      <c r="Y11" s="43">
        <f t="shared" si="1"/>
        <v>11.993055555554747</v>
      </c>
      <c r="AN11" s="51">
        <v>29.15</v>
      </c>
      <c r="AO11" s="51">
        <v>0</v>
      </c>
      <c r="AP11" s="51">
        <v>0</v>
      </c>
      <c r="AQ11" s="51">
        <v>0</v>
      </c>
      <c r="AR11" s="52">
        <v>0</v>
      </c>
    </row>
    <row r="12" spans="1:44" ht="42" customHeight="1">
      <c r="B12" s="39">
        <v>9</v>
      </c>
      <c r="C12" s="48">
        <v>45448</v>
      </c>
      <c r="D12" s="49">
        <v>0.44444444444444442</v>
      </c>
      <c r="E12" s="39">
        <v>6.3</v>
      </c>
      <c r="F12" s="39">
        <v>5.86</v>
      </c>
      <c r="G12" s="39">
        <v>630841</v>
      </c>
      <c r="H12" s="39">
        <v>20211</v>
      </c>
      <c r="I12" s="50">
        <v>1450</v>
      </c>
      <c r="J12" s="39">
        <v>35</v>
      </c>
      <c r="K12" s="39">
        <v>1150</v>
      </c>
      <c r="M12" s="39">
        <v>1308</v>
      </c>
      <c r="N12" s="39">
        <v>45</v>
      </c>
      <c r="O12" s="39">
        <v>5</v>
      </c>
      <c r="P12" s="39">
        <v>1.66</v>
      </c>
      <c r="Q12" s="39">
        <v>1.66</v>
      </c>
      <c r="R12" s="39">
        <v>3285.7</v>
      </c>
      <c r="S12" s="39">
        <v>1855.5</v>
      </c>
      <c r="T12" s="39">
        <v>2917.7</v>
      </c>
      <c r="V12" s="39">
        <v>6.22</v>
      </c>
      <c r="X12" s="42">
        <f t="shared" si="0"/>
        <v>45448.444444444445</v>
      </c>
      <c r="Y12" s="43">
        <f t="shared" si="1"/>
        <v>14.045138888890506</v>
      </c>
      <c r="AN12" s="51">
        <v>29.15</v>
      </c>
      <c r="AO12" s="51">
        <v>50</v>
      </c>
      <c r="AP12" s="51">
        <v>4</v>
      </c>
      <c r="AQ12" s="51">
        <v>35</v>
      </c>
      <c r="AR12" s="52">
        <v>16</v>
      </c>
    </row>
    <row r="13" spans="1:44" ht="63.75" customHeight="1">
      <c r="B13" s="39">
        <v>10</v>
      </c>
      <c r="C13" s="48">
        <v>45450</v>
      </c>
      <c r="D13" s="49">
        <v>0.4375</v>
      </c>
      <c r="E13" s="39">
        <v>6.3</v>
      </c>
      <c r="F13" s="39">
        <v>5.87</v>
      </c>
      <c r="G13" s="39">
        <v>722837</v>
      </c>
      <c r="H13" s="39">
        <v>23076</v>
      </c>
      <c r="I13" s="50">
        <v>1450</v>
      </c>
      <c r="J13" s="39">
        <v>35</v>
      </c>
      <c r="K13" s="39">
        <v>1124</v>
      </c>
      <c r="M13" s="39">
        <v>1321</v>
      </c>
      <c r="N13" s="39">
        <v>45</v>
      </c>
      <c r="O13" s="39">
        <v>5</v>
      </c>
      <c r="P13" s="39">
        <v>1.66</v>
      </c>
      <c r="Q13" s="39">
        <v>1.66</v>
      </c>
      <c r="R13" s="39">
        <v>2343.8000000000002</v>
      </c>
      <c r="S13" s="39">
        <v>6811.7</v>
      </c>
      <c r="T13" s="39">
        <v>3882.6</v>
      </c>
      <c r="U13" s="39">
        <v>4387.3999999999996</v>
      </c>
      <c r="V13" s="39">
        <v>2.71</v>
      </c>
      <c r="W13" s="41" t="s">
        <v>125</v>
      </c>
      <c r="X13" s="42">
        <f t="shared" si="0"/>
        <v>45450.4375</v>
      </c>
      <c r="Y13" s="160">
        <f t="shared" si="1"/>
        <v>16.038194444445253</v>
      </c>
      <c r="AN13" s="51"/>
      <c r="AO13" s="51"/>
      <c r="AP13" s="51"/>
      <c r="AQ13" s="51"/>
      <c r="AR13" s="52"/>
    </row>
    <row r="14" spans="1:44" ht="42" customHeight="1">
      <c r="B14" s="39">
        <v>11</v>
      </c>
      <c r="C14" s="48">
        <v>45453</v>
      </c>
      <c r="D14" s="49">
        <v>0.3923611111111111</v>
      </c>
      <c r="E14" s="39">
        <v>6.3</v>
      </c>
      <c r="F14" s="39">
        <v>5.82</v>
      </c>
      <c r="G14" s="39">
        <v>858329</v>
      </c>
      <c r="H14" s="39">
        <v>27330</v>
      </c>
      <c r="I14" s="50">
        <v>1400</v>
      </c>
      <c r="J14" s="39">
        <v>35</v>
      </c>
      <c r="K14" s="39">
        <v>1083</v>
      </c>
      <c r="M14" s="39">
        <v>1310</v>
      </c>
      <c r="N14" s="39">
        <v>45</v>
      </c>
      <c r="O14" s="39">
        <v>5</v>
      </c>
      <c r="P14" s="39">
        <v>1.8</v>
      </c>
      <c r="Q14" s="39">
        <v>1.7</v>
      </c>
      <c r="R14" s="39">
        <v>5933.9</v>
      </c>
      <c r="T14" s="39">
        <v>5287.6</v>
      </c>
      <c r="V14" s="39">
        <v>2.99</v>
      </c>
      <c r="X14" s="42">
        <f t="shared" si="0"/>
        <v>45453.392361111109</v>
      </c>
      <c r="Y14" s="43">
        <f t="shared" si="1"/>
        <v>18.993055555554747</v>
      </c>
      <c r="AN14" s="51">
        <v>54.23</v>
      </c>
      <c r="AO14" s="51">
        <v>0</v>
      </c>
      <c r="AP14" s="51">
        <v>0</v>
      </c>
      <c r="AQ14" s="51">
        <v>0</v>
      </c>
      <c r="AR14" s="52">
        <v>0</v>
      </c>
    </row>
    <row r="15" spans="1:44" ht="42" customHeight="1">
      <c r="B15" s="39">
        <v>12</v>
      </c>
      <c r="C15" s="48">
        <v>45455</v>
      </c>
      <c r="D15" s="49">
        <v>0.44444444444444442</v>
      </c>
      <c r="E15" s="39">
        <v>6.3</v>
      </c>
      <c r="F15" s="39">
        <v>5.68</v>
      </c>
      <c r="G15" s="39">
        <v>951381</v>
      </c>
      <c r="H15" s="39">
        <v>30281</v>
      </c>
      <c r="I15" s="50">
        <v>1500</v>
      </c>
      <c r="J15" s="39">
        <v>35</v>
      </c>
      <c r="K15" s="39">
        <v>1061</v>
      </c>
      <c r="M15" s="39">
        <v>1305</v>
      </c>
      <c r="N15" s="39">
        <v>45</v>
      </c>
      <c r="O15" s="39">
        <v>5</v>
      </c>
      <c r="P15" s="39">
        <v>1.8</v>
      </c>
      <c r="Q15" s="39">
        <v>1.7</v>
      </c>
      <c r="R15" s="39">
        <v>4867.5</v>
      </c>
      <c r="T15" s="39">
        <v>6263.7</v>
      </c>
      <c r="V15" s="39">
        <v>3.7</v>
      </c>
      <c r="W15" s="41" t="s">
        <v>126</v>
      </c>
      <c r="X15" s="42">
        <f t="shared" si="0"/>
        <v>45455.444444444445</v>
      </c>
      <c r="Y15" s="43">
        <f t="shared" si="1"/>
        <v>21.045138888890506</v>
      </c>
      <c r="AN15" s="51">
        <v>54.23</v>
      </c>
      <c r="AO15" s="51">
        <v>50</v>
      </c>
      <c r="AP15" s="51">
        <v>4</v>
      </c>
      <c r="AQ15" s="51">
        <v>35</v>
      </c>
      <c r="AR15" s="52">
        <v>16</v>
      </c>
    </row>
    <row r="16" spans="1:44" ht="42" customHeight="1">
      <c r="B16" s="39">
        <v>13</v>
      </c>
      <c r="C16" s="48">
        <v>45457</v>
      </c>
      <c r="D16" s="49">
        <v>0.41319444444444442</v>
      </c>
      <c r="E16" s="39">
        <v>6.5</v>
      </c>
      <c r="F16" s="39">
        <v>5.81</v>
      </c>
      <c r="G16" s="39">
        <v>1039581</v>
      </c>
      <c r="H16" s="39">
        <v>33117</v>
      </c>
      <c r="I16" s="50">
        <v>1550</v>
      </c>
      <c r="J16" s="39">
        <v>35</v>
      </c>
      <c r="K16" s="39">
        <v>1033</v>
      </c>
      <c r="M16" s="39">
        <v>1304</v>
      </c>
      <c r="N16" s="39">
        <v>45</v>
      </c>
      <c r="O16" s="39">
        <v>5</v>
      </c>
      <c r="P16" s="39">
        <v>1.8</v>
      </c>
      <c r="Q16" s="39">
        <v>1.7</v>
      </c>
      <c r="R16" s="39">
        <v>3860.3</v>
      </c>
      <c r="T16" s="39">
        <v>7198</v>
      </c>
      <c r="V16" s="39">
        <v>3.02</v>
      </c>
      <c r="W16" s="41" t="s">
        <v>127</v>
      </c>
      <c r="X16" s="42">
        <f t="shared" si="0"/>
        <v>45457.413194444445</v>
      </c>
      <c r="Y16" s="43">
        <f t="shared" si="1"/>
        <v>23.013888888890506</v>
      </c>
      <c r="AN16" s="51"/>
      <c r="AO16" s="51"/>
      <c r="AP16" s="51"/>
      <c r="AQ16" s="51"/>
      <c r="AR16" s="52"/>
    </row>
    <row r="17" spans="1:44" ht="42" customHeight="1">
      <c r="B17" s="39">
        <v>14</v>
      </c>
      <c r="C17" s="48">
        <v>45460</v>
      </c>
      <c r="D17" s="49">
        <v>0.40277777777777773</v>
      </c>
      <c r="E17" s="39">
        <v>6.1</v>
      </c>
      <c r="F17" s="39">
        <v>5.85</v>
      </c>
      <c r="G17" s="39">
        <v>1173617</v>
      </c>
      <c r="H17" s="39">
        <v>37418</v>
      </c>
      <c r="I17" s="50">
        <v>1600</v>
      </c>
      <c r="J17" s="39">
        <v>35</v>
      </c>
      <c r="K17" s="39">
        <v>974</v>
      </c>
      <c r="M17" s="39">
        <v>1292</v>
      </c>
      <c r="N17" s="39">
        <v>45</v>
      </c>
      <c r="O17" s="39">
        <v>5</v>
      </c>
      <c r="P17" s="39">
        <v>1.8</v>
      </c>
      <c r="Q17" s="39">
        <v>1.7</v>
      </c>
      <c r="R17" s="39">
        <v>2341.6</v>
      </c>
      <c r="T17" s="39">
        <v>8641.2999999999993</v>
      </c>
      <c r="V17" s="39">
        <v>3.54</v>
      </c>
      <c r="W17" s="41" t="s">
        <v>128</v>
      </c>
      <c r="X17" s="42">
        <f t="shared" si="0"/>
        <v>45460.402777777781</v>
      </c>
      <c r="Y17" s="43">
        <f t="shared" si="1"/>
        <v>26.003472222226264</v>
      </c>
      <c r="AN17" s="51">
        <v>75.3</v>
      </c>
      <c r="AO17" s="51">
        <v>0</v>
      </c>
      <c r="AP17" s="51">
        <v>0</v>
      </c>
      <c r="AQ17" s="51">
        <v>0</v>
      </c>
      <c r="AR17" s="52">
        <v>0</v>
      </c>
    </row>
    <row r="18" spans="1:44" ht="42" customHeight="1">
      <c r="B18" s="39">
        <v>15</v>
      </c>
      <c r="C18" s="48">
        <v>45462</v>
      </c>
      <c r="D18" s="49">
        <v>0.4291666666666667</v>
      </c>
      <c r="E18" s="39">
        <v>6.2</v>
      </c>
      <c r="F18" s="39">
        <v>5.82</v>
      </c>
      <c r="G18" s="39">
        <v>1264226</v>
      </c>
      <c r="H18" s="39">
        <v>40334</v>
      </c>
      <c r="I18" s="50">
        <v>1700</v>
      </c>
      <c r="J18" s="39">
        <v>35</v>
      </c>
      <c r="K18" s="39">
        <v>950</v>
      </c>
      <c r="M18" s="39">
        <v>1288</v>
      </c>
      <c r="N18" s="39">
        <v>45</v>
      </c>
      <c r="O18" s="39">
        <v>5</v>
      </c>
      <c r="P18" s="39">
        <v>1.8</v>
      </c>
      <c r="Q18" s="39">
        <v>1.8</v>
      </c>
      <c r="R18" s="39">
        <v>1337.2</v>
      </c>
      <c r="T18" s="39">
        <v>9654.7999999999993</v>
      </c>
      <c r="V18" s="39">
        <v>2.67</v>
      </c>
      <c r="W18" s="41" t="s">
        <v>129</v>
      </c>
      <c r="X18" s="42">
        <f t="shared" si="0"/>
        <v>45462.429166666669</v>
      </c>
      <c r="Y18" s="43">
        <f t="shared" si="1"/>
        <v>28.02986111111386</v>
      </c>
      <c r="AN18" s="51">
        <v>75.3</v>
      </c>
      <c r="AO18" s="51">
        <v>50</v>
      </c>
      <c r="AP18" s="51">
        <v>4</v>
      </c>
      <c r="AQ18" s="51">
        <v>35</v>
      </c>
      <c r="AR18" s="52">
        <v>16</v>
      </c>
    </row>
    <row r="19" spans="1:44" ht="42" customHeight="1">
      <c r="A19" s="55" t="s">
        <v>130</v>
      </c>
      <c r="B19" s="53">
        <v>16</v>
      </c>
      <c r="C19" s="54">
        <v>45463</v>
      </c>
      <c r="D19" s="49">
        <v>0.54861111111111105</v>
      </c>
      <c r="E19" s="39">
        <v>6.3</v>
      </c>
      <c r="F19" s="39">
        <v>5.89</v>
      </c>
      <c r="G19" s="39">
        <v>1314317</v>
      </c>
      <c r="H19" s="39">
        <v>41943</v>
      </c>
      <c r="I19" s="50">
        <v>1600</v>
      </c>
      <c r="J19" s="39">
        <v>35</v>
      </c>
      <c r="K19" s="39">
        <v>938</v>
      </c>
      <c r="L19" s="39">
        <v>1539</v>
      </c>
      <c r="M19" s="39">
        <v>1299</v>
      </c>
      <c r="N19" s="39">
        <v>45</v>
      </c>
      <c r="O19" s="39">
        <v>5</v>
      </c>
      <c r="P19" s="39">
        <v>1.8</v>
      </c>
      <c r="Q19" s="39">
        <v>2</v>
      </c>
      <c r="R19" s="39">
        <v>789.8</v>
      </c>
      <c r="S19" s="39">
        <v>10661</v>
      </c>
      <c r="T19" s="39">
        <v>10258</v>
      </c>
      <c r="V19" s="39">
        <v>2.4300000000000002</v>
      </c>
      <c r="W19" s="41" t="s">
        <v>131</v>
      </c>
      <c r="X19" s="42">
        <f t="shared" si="0"/>
        <v>45463.548611111109</v>
      </c>
      <c r="Y19" s="160">
        <f t="shared" si="1"/>
        <v>29.149305555554747</v>
      </c>
      <c r="AN19" s="51"/>
      <c r="AO19" s="51"/>
      <c r="AP19" s="51"/>
      <c r="AQ19" s="51"/>
      <c r="AR19" s="52"/>
    </row>
    <row r="20" spans="1:44" ht="42" customHeight="1">
      <c r="B20" s="39">
        <v>17</v>
      </c>
      <c r="C20" s="48">
        <v>45464</v>
      </c>
      <c r="D20" s="49">
        <v>0.39027777777777778</v>
      </c>
      <c r="E20" s="39">
        <v>6.2</v>
      </c>
      <c r="F20" s="39">
        <v>5.98</v>
      </c>
      <c r="G20" s="39">
        <v>1352177</v>
      </c>
      <c r="H20" s="39">
        <v>43155</v>
      </c>
      <c r="I20" s="50">
        <v>1600</v>
      </c>
      <c r="J20" s="39">
        <v>35</v>
      </c>
      <c r="K20" s="39">
        <v>1522</v>
      </c>
      <c r="M20" s="39">
        <v>1300</v>
      </c>
      <c r="N20" s="39">
        <v>45</v>
      </c>
      <c r="O20" s="39">
        <v>5</v>
      </c>
      <c r="P20" s="39">
        <v>1.8</v>
      </c>
      <c r="Q20" s="39">
        <v>2</v>
      </c>
      <c r="R20" s="39">
        <v>10219</v>
      </c>
      <c r="T20" s="39">
        <v>10714</v>
      </c>
      <c r="U20" s="39">
        <v>10719</v>
      </c>
      <c r="V20" s="39">
        <v>2.4500000000000002</v>
      </c>
      <c r="W20" s="41" t="s">
        <v>132</v>
      </c>
      <c r="X20" s="42">
        <f t="shared" si="0"/>
        <v>45464.390277777777</v>
      </c>
      <c r="Y20" s="43">
        <f t="shared" si="1"/>
        <v>29.990972222221899</v>
      </c>
      <c r="AN20" s="51">
        <v>95</v>
      </c>
      <c r="AO20" s="51">
        <v>0</v>
      </c>
      <c r="AP20" s="51">
        <v>0</v>
      </c>
      <c r="AQ20" s="51">
        <v>0</v>
      </c>
      <c r="AR20" s="52">
        <v>0</v>
      </c>
    </row>
    <row r="21" spans="1:44" ht="42" customHeight="1">
      <c r="B21" s="39">
        <v>18</v>
      </c>
      <c r="C21" s="48">
        <v>45467</v>
      </c>
      <c r="D21" s="49">
        <v>0.39027777777777778</v>
      </c>
      <c r="E21" s="39">
        <v>6.1</v>
      </c>
      <c r="F21" s="39">
        <v>5.78</v>
      </c>
      <c r="G21" s="39">
        <v>1487761</v>
      </c>
      <c r="H21" s="39">
        <v>47473</v>
      </c>
      <c r="I21" s="50">
        <v>1600</v>
      </c>
      <c r="J21" s="39">
        <v>35</v>
      </c>
      <c r="K21" s="39">
        <v>1442</v>
      </c>
      <c r="M21" s="39">
        <v>1296</v>
      </c>
      <c r="N21" s="39">
        <v>45</v>
      </c>
      <c r="O21" s="39">
        <v>5</v>
      </c>
      <c r="P21" s="39">
        <v>1.8</v>
      </c>
      <c r="Q21" s="39">
        <v>2</v>
      </c>
      <c r="R21" s="39">
        <v>8609.4</v>
      </c>
      <c r="T21" s="39">
        <v>2298.8000000000002</v>
      </c>
      <c r="U21" s="39">
        <v>644.79999999999995</v>
      </c>
      <c r="V21" s="39">
        <v>3.22</v>
      </c>
      <c r="W21" s="41" t="s">
        <v>133</v>
      </c>
      <c r="X21" s="42">
        <f t="shared" si="0"/>
        <v>45467.390277777777</v>
      </c>
      <c r="Y21" s="43">
        <f t="shared" si="1"/>
        <v>32.990972222221899</v>
      </c>
      <c r="AN21" s="51">
        <v>95</v>
      </c>
      <c r="AO21" s="51">
        <v>50</v>
      </c>
      <c r="AP21" s="51">
        <v>4</v>
      </c>
      <c r="AQ21" s="51">
        <v>35</v>
      </c>
      <c r="AR21" s="52">
        <v>16</v>
      </c>
    </row>
    <row r="22" spans="1:44" ht="66.75" customHeight="1">
      <c r="B22" s="39">
        <v>19</v>
      </c>
      <c r="C22" s="48">
        <v>45469</v>
      </c>
      <c r="D22" s="49">
        <v>0.40138888888888885</v>
      </c>
      <c r="E22" s="39">
        <v>6.2</v>
      </c>
      <c r="F22" s="39">
        <v>5.83</v>
      </c>
      <c r="G22" s="39">
        <v>1577993</v>
      </c>
      <c r="H22" s="39">
        <v>50366</v>
      </c>
      <c r="I22" s="50">
        <v>1600</v>
      </c>
      <c r="J22" s="39">
        <v>35</v>
      </c>
      <c r="K22" s="39">
        <v>1376</v>
      </c>
      <c r="M22" s="39">
        <v>1290</v>
      </c>
      <c r="N22" s="39">
        <v>45</v>
      </c>
      <c r="O22" s="39">
        <v>5</v>
      </c>
      <c r="P22" s="39">
        <v>1.8</v>
      </c>
      <c r="Q22" s="39">
        <v>2</v>
      </c>
      <c r="R22" s="39">
        <v>7532.8</v>
      </c>
      <c r="T22" s="39">
        <v>3408.9</v>
      </c>
      <c r="V22" s="39">
        <v>3.36</v>
      </c>
      <c r="W22" s="41" t="s">
        <v>134</v>
      </c>
      <c r="X22" s="42">
        <f t="shared" si="0"/>
        <v>45469.401388888888</v>
      </c>
      <c r="Y22" s="43">
        <f t="shared" si="1"/>
        <v>35.002083333332848</v>
      </c>
      <c r="AN22" s="51"/>
      <c r="AO22" s="51"/>
      <c r="AP22" s="51"/>
      <c r="AQ22" s="51"/>
      <c r="AR22" s="52"/>
    </row>
    <row r="23" spans="1:44" ht="42" customHeight="1">
      <c r="B23" s="39">
        <v>20</v>
      </c>
      <c r="C23" s="48">
        <v>45471</v>
      </c>
      <c r="D23" s="49">
        <v>0.41805555555555557</v>
      </c>
      <c r="E23" s="39">
        <v>6.2</v>
      </c>
      <c r="F23" s="39">
        <v>5.89</v>
      </c>
      <c r="G23" s="39">
        <v>1669145</v>
      </c>
      <c r="H23" s="39">
        <v>53268</v>
      </c>
      <c r="I23" s="50">
        <v>1600</v>
      </c>
      <c r="J23" s="39">
        <v>35</v>
      </c>
      <c r="K23" s="39">
        <v>1309</v>
      </c>
      <c r="M23" s="39">
        <v>1290</v>
      </c>
      <c r="N23" s="39">
        <v>45</v>
      </c>
      <c r="O23" s="39">
        <v>5</v>
      </c>
      <c r="P23" s="39">
        <v>1.8</v>
      </c>
      <c r="Q23" s="39">
        <v>2</v>
      </c>
      <c r="R23" s="39">
        <v>6412</v>
      </c>
      <c r="T23" s="39">
        <v>4575.5</v>
      </c>
      <c r="V23" s="39">
        <v>5.05</v>
      </c>
      <c r="X23" s="42">
        <f t="shared" si="0"/>
        <v>45471.418055555558</v>
      </c>
      <c r="Y23" s="43">
        <f t="shared" si="1"/>
        <v>37.01875000000291</v>
      </c>
      <c r="AN23" s="51">
        <v>113</v>
      </c>
      <c r="AO23" s="51">
        <v>0</v>
      </c>
      <c r="AP23" s="51">
        <v>0</v>
      </c>
      <c r="AQ23" s="51">
        <v>0</v>
      </c>
      <c r="AR23" s="52">
        <v>0</v>
      </c>
    </row>
    <row r="24" spans="1:44" ht="42" customHeight="1">
      <c r="B24" s="39">
        <v>21</v>
      </c>
      <c r="C24" s="48">
        <v>45474</v>
      </c>
      <c r="D24" s="49">
        <v>0.41041666666666665</v>
      </c>
      <c r="E24" s="39">
        <v>6.2</v>
      </c>
      <c r="F24" s="39">
        <v>5.84</v>
      </c>
      <c r="G24" s="39">
        <v>1795749</v>
      </c>
      <c r="H24" s="39">
        <v>57574</v>
      </c>
      <c r="I24" s="50">
        <v>1550</v>
      </c>
      <c r="J24" s="39">
        <v>35</v>
      </c>
      <c r="K24" s="39">
        <v>1222</v>
      </c>
      <c r="M24" s="39">
        <v>1289</v>
      </c>
      <c r="N24" s="39">
        <v>45</v>
      </c>
      <c r="O24" s="39">
        <v>5</v>
      </c>
      <c r="P24" s="39">
        <v>1.8</v>
      </c>
      <c r="Q24" s="39">
        <v>2</v>
      </c>
      <c r="R24" s="39">
        <v>4760.3999999999996</v>
      </c>
      <c r="T24" s="39">
        <v>6340.9</v>
      </c>
      <c r="V24" s="39">
        <v>4.43</v>
      </c>
      <c r="X24" s="42">
        <f t="shared" si="0"/>
        <v>45474.410416666666</v>
      </c>
      <c r="Y24" s="43">
        <f t="shared" si="1"/>
        <v>40.011111111110949</v>
      </c>
      <c r="AN24" s="51">
        <v>113</v>
      </c>
      <c r="AO24" s="51">
        <v>50</v>
      </c>
      <c r="AP24" s="51">
        <v>4</v>
      </c>
      <c r="AQ24" s="51">
        <v>35</v>
      </c>
      <c r="AR24" s="52">
        <v>16</v>
      </c>
    </row>
    <row r="25" spans="1:44" ht="42" customHeight="1">
      <c r="B25" s="39">
        <v>22</v>
      </c>
      <c r="C25" s="48">
        <v>45476</v>
      </c>
      <c r="D25" s="49">
        <v>0.4284722222222222</v>
      </c>
      <c r="E25" s="39">
        <v>6.2</v>
      </c>
      <c r="F25" s="39">
        <v>5.76</v>
      </c>
      <c r="G25" s="39">
        <v>1879250</v>
      </c>
      <c r="H25" s="39">
        <v>60478</v>
      </c>
      <c r="I25" s="50">
        <v>1500</v>
      </c>
      <c r="J25" s="39">
        <v>35</v>
      </c>
      <c r="K25" s="39">
        <v>1168</v>
      </c>
      <c r="M25" s="39">
        <v>1288</v>
      </c>
      <c r="N25" s="39">
        <v>45</v>
      </c>
      <c r="O25" s="39">
        <v>5</v>
      </c>
      <c r="P25" s="39">
        <v>1.8</v>
      </c>
      <c r="Q25" s="39">
        <v>2</v>
      </c>
      <c r="R25" s="39">
        <v>3727.1</v>
      </c>
      <c r="T25" s="39">
        <v>7470.1</v>
      </c>
      <c r="V25" s="39">
        <v>4.34</v>
      </c>
      <c r="W25" s="41" t="s">
        <v>135</v>
      </c>
      <c r="X25" s="42">
        <f t="shared" si="0"/>
        <v>45476.428472222222</v>
      </c>
      <c r="Y25" s="43">
        <f t="shared" si="1"/>
        <v>42.029166666667152</v>
      </c>
      <c r="AN25" s="51"/>
      <c r="AO25" s="51"/>
      <c r="AP25" s="51"/>
      <c r="AQ25" s="51"/>
      <c r="AR25" s="52"/>
    </row>
    <row r="26" spans="1:44" ht="69" customHeight="1">
      <c r="B26" s="39">
        <v>23</v>
      </c>
      <c r="C26" s="48">
        <v>45478</v>
      </c>
      <c r="D26" s="49">
        <v>0.42152777777777778</v>
      </c>
      <c r="E26" s="39">
        <v>6.2</v>
      </c>
      <c r="F26" s="39">
        <v>5.85</v>
      </c>
      <c r="G26" s="39">
        <v>1963208</v>
      </c>
      <c r="H26" s="39">
        <v>63346</v>
      </c>
      <c r="I26" s="50">
        <v>1500</v>
      </c>
      <c r="J26" s="39">
        <v>35</v>
      </c>
      <c r="K26" s="39">
        <v>1110</v>
      </c>
      <c r="M26" s="39">
        <v>1283</v>
      </c>
      <c r="N26" s="39">
        <v>45</v>
      </c>
      <c r="O26" s="39">
        <v>5</v>
      </c>
      <c r="P26" s="39">
        <v>1.8</v>
      </c>
      <c r="Q26" s="39">
        <v>2</v>
      </c>
      <c r="R26" s="39">
        <v>2704.9</v>
      </c>
      <c r="S26" s="39">
        <v>1558.9</v>
      </c>
      <c r="T26" s="39">
        <v>8580.9</v>
      </c>
      <c r="V26" s="39">
        <v>4.3</v>
      </c>
      <c r="W26" s="41" t="s">
        <v>136</v>
      </c>
      <c r="X26" s="42">
        <f t="shared" si="0"/>
        <v>45478.421527777777</v>
      </c>
      <c r="Y26" s="160">
        <f t="shared" si="1"/>
        <v>44.022222222221899</v>
      </c>
      <c r="AR26" s="56"/>
    </row>
    <row r="27" spans="1:44" ht="55.5" customHeight="1">
      <c r="B27" s="39">
        <v>24</v>
      </c>
      <c r="C27" s="48">
        <v>45481</v>
      </c>
      <c r="D27" s="49">
        <v>0.39652777777777781</v>
      </c>
      <c r="E27" s="39">
        <v>6.3</v>
      </c>
      <c r="F27" s="39">
        <v>5.83</v>
      </c>
      <c r="G27" s="39">
        <v>2092785</v>
      </c>
      <c r="H27" s="39">
        <v>67626</v>
      </c>
      <c r="I27" s="50">
        <v>1500</v>
      </c>
      <c r="J27" s="39">
        <v>35</v>
      </c>
      <c r="K27" s="39">
        <v>1027</v>
      </c>
      <c r="M27" s="39">
        <v>1279</v>
      </c>
      <c r="N27" s="39">
        <v>45</v>
      </c>
      <c r="O27" s="39">
        <v>5</v>
      </c>
      <c r="P27" s="39">
        <v>1.8</v>
      </c>
      <c r="Q27" s="39">
        <v>1.8</v>
      </c>
      <c r="R27" s="39">
        <v>6060.2</v>
      </c>
      <c r="S27" s="39">
        <v>6558.3</v>
      </c>
      <c r="T27" s="39">
        <v>10199.4</v>
      </c>
      <c r="V27" s="39">
        <v>3.99</v>
      </c>
      <c r="W27" s="41" t="s">
        <v>137</v>
      </c>
      <c r="X27" s="42">
        <f t="shared" si="0"/>
        <v>45481.396527777775</v>
      </c>
      <c r="Y27" s="43">
        <f t="shared" si="1"/>
        <v>46.997222222220444</v>
      </c>
      <c r="AR27" s="56"/>
    </row>
    <row r="28" spans="1:44" ht="42" customHeight="1">
      <c r="B28" s="39">
        <v>25</v>
      </c>
      <c r="C28" s="48">
        <v>45483</v>
      </c>
      <c r="D28" s="49">
        <v>0.39374999999999999</v>
      </c>
      <c r="E28" s="39">
        <v>6.3</v>
      </c>
      <c r="F28" s="39">
        <v>5.92</v>
      </c>
      <c r="G28" s="39">
        <v>2177724</v>
      </c>
      <c r="H28" s="39">
        <v>70500</v>
      </c>
      <c r="I28" s="50">
        <v>1600</v>
      </c>
      <c r="J28" s="39">
        <v>35</v>
      </c>
      <c r="K28" s="39">
        <v>955</v>
      </c>
      <c r="M28" s="39">
        <v>1280</v>
      </c>
      <c r="N28" s="39">
        <v>45</v>
      </c>
      <c r="O28" s="39">
        <v>5</v>
      </c>
      <c r="P28" s="39">
        <v>1.8</v>
      </c>
      <c r="Q28" s="39">
        <v>1.8</v>
      </c>
      <c r="R28" s="39">
        <v>4967</v>
      </c>
      <c r="T28" s="39">
        <v>11261</v>
      </c>
      <c r="U28" s="39">
        <v>638.1</v>
      </c>
      <c r="V28" s="39">
        <v>4.54</v>
      </c>
      <c r="W28" s="41" t="s">
        <v>138</v>
      </c>
      <c r="X28" s="42">
        <f t="shared" si="0"/>
        <v>45483.393750000003</v>
      </c>
      <c r="Y28" s="43">
        <f t="shared" si="1"/>
        <v>48.994444444448163</v>
      </c>
      <c r="AR28" s="56"/>
    </row>
    <row r="29" spans="1:44" ht="42" customHeight="1">
      <c r="B29" s="39">
        <v>26</v>
      </c>
      <c r="C29" s="48">
        <v>45485</v>
      </c>
      <c r="D29" s="49">
        <v>0.37083333333333335</v>
      </c>
      <c r="E29" s="39">
        <v>6.3</v>
      </c>
      <c r="F29" s="39">
        <v>5.91</v>
      </c>
      <c r="G29" s="39">
        <v>2259473</v>
      </c>
      <c r="H29" s="39">
        <v>73346</v>
      </c>
      <c r="I29" s="50">
        <v>1600</v>
      </c>
      <c r="J29" s="39">
        <v>35</v>
      </c>
      <c r="K29" s="39">
        <v>905</v>
      </c>
      <c r="M29" s="39">
        <v>1280</v>
      </c>
      <c r="N29" s="39">
        <v>45</v>
      </c>
      <c r="O29" s="39">
        <v>5</v>
      </c>
      <c r="P29" s="39">
        <v>1.8</v>
      </c>
      <c r="Q29" s="39">
        <v>1.8</v>
      </c>
      <c r="R29" s="39">
        <v>3922.4</v>
      </c>
      <c r="T29" s="39">
        <v>1712.7</v>
      </c>
      <c r="V29" s="39">
        <v>8.25</v>
      </c>
      <c r="X29" s="42">
        <f t="shared" si="0"/>
        <v>45485.370833333334</v>
      </c>
      <c r="Y29" s="43">
        <f t="shared" si="1"/>
        <v>50.971527777779556</v>
      </c>
      <c r="AR29" s="56"/>
    </row>
    <row r="30" spans="1:44" ht="42" customHeight="1">
      <c r="B30" s="39">
        <v>27</v>
      </c>
      <c r="C30" s="48">
        <v>45488</v>
      </c>
      <c r="D30" s="49">
        <v>0.37847222222222227</v>
      </c>
      <c r="E30" s="39">
        <v>6.3</v>
      </c>
      <c r="F30" s="39">
        <v>5.86</v>
      </c>
      <c r="G30" s="39">
        <v>2381755</v>
      </c>
      <c r="H30" s="39">
        <v>77673</v>
      </c>
      <c r="I30" s="50">
        <v>1600</v>
      </c>
      <c r="J30" s="39">
        <v>35</v>
      </c>
      <c r="K30" s="39">
        <v>823</v>
      </c>
      <c r="M30" s="39">
        <v>1275</v>
      </c>
      <c r="N30" s="39">
        <v>45</v>
      </c>
      <c r="O30" s="39">
        <v>5</v>
      </c>
      <c r="P30" s="39">
        <v>1.8</v>
      </c>
      <c r="Q30" s="39">
        <v>1.8</v>
      </c>
      <c r="R30" s="39">
        <v>2375.1999999999998</v>
      </c>
      <c r="T30" s="39">
        <v>3313.1</v>
      </c>
      <c r="V30" s="39">
        <v>7.22</v>
      </c>
      <c r="X30" s="42">
        <f t="shared" si="0"/>
        <v>45488.378472222219</v>
      </c>
      <c r="Y30" s="43">
        <f t="shared" si="1"/>
        <v>53.979166666664241</v>
      </c>
      <c r="AR30" s="56"/>
    </row>
    <row r="31" spans="1:44" ht="65.25" customHeight="1">
      <c r="A31" s="53" t="s">
        <v>139</v>
      </c>
      <c r="B31" s="53">
        <v>28</v>
      </c>
      <c r="C31" s="54">
        <v>45488</v>
      </c>
      <c r="D31" s="49">
        <v>0.625</v>
      </c>
      <c r="E31" s="39">
        <v>6.3</v>
      </c>
      <c r="F31" s="39">
        <v>5.89</v>
      </c>
      <c r="G31" s="39">
        <v>2391837</v>
      </c>
      <c r="H31" s="39">
        <v>78027</v>
      </c>
      <c r="I31" s="50">
        <v>1600</v>
      </c>
      <c r="J31" s="39">
        <v>35</v>
      </c>
      <c r="K31" s="39">
        <v>816</v>
      </c>
      <c r="M31" s="39">
        <v>1272</v>
      </c>
      <c r="N31" s="39">
        <v>45</v>
      </c>
      <c r="O31" s="39">
        <v>5</v>
      </c>
      <c r="P31" s="39">
        <v>1.8</v>
      </c>
      <c r="Q31" s="39">
        <v>1.8</v>
      </c>
      <c r="R31" s="39">
        <v>2251.4</v>
      </c>
      <c r="S31" s="39">
        <v>5519.6</v>
      </c>
      <c r="T31" s="39">
        <v>3441.1</v>
      </c>
      <c r="V31" s="39">
        <v>7.11</v>
      </c>
      <c r="W31" s="41" t="s">
        <v>140</v>
      </c>
      <c r="X31" s="42">
        <f t="shared" si="0"/>
        <v>45488.625</v>
      </c>
      <c r="Y31" s="160">
        <f t="shared" si="1"/>
        <v>54.225694444445253</v>
      </c>
      <c r="AR31" s="56"/>
    </row>
    <row r="32" spans="1:44" ht="42" customHeight="1">
      <c r="B32" s="39">
        <v>29</v>
      </c>
      <c r="C32" s="48">
        <v>45490</v>
      </c>
      <c r="D32" s="49">
        <v>0.41875000000000001</v>
      </c>
      <c r="E32" s="39">
        <v>6.3</v>
      </c>
      <c r="F32" s="39">
        <v>5.86</v>
      </c>
      <c r="G32" s="39">
        <v>2471133</v>
      </c>
      <c r="H32" s="39">
        <v>80609</v>
      </c>
      <c r="I32" s="50">
        <v>1450</v>
      </c>
      <c r="J32" s="39">
        <v>35</v>
      </c>
      <c r="K32" s="39">
        <v>799</v>
      </c>
      <c r="M32" s="39">
        <v>1278</v>
      </c>
      <c r="N32" s="39">
        <v>45</v>
      </c>
      <c r="O32" s="39">
        <v>5</v>
      </c>
      <c r="P32" s="39">
        <v>1.8</v>
      </c>
      <c r="Q32" s="39">
        <v>1.8</v>
      </c>
      <c r="R32" s="39">
        <v>4646.8</v>
      </c>
      <c r="T32" s="39">
        <v>4408.1000000000004</v>
      </c>
      <c r="V32" s="39">
        <v>8.81</v>
      </c>
      <c r="W32" s="41" t="s">
        <v>141</v>
      </c>
      <c r="X32" s="42">
        <f t="shared" si="0"/>
        <v>45490.418749999997</v>
      </c>
      <c r="Y32" s="43">
        <f t="shared" si="1"/>
        <v>56.019444444442343</v>
      </c>
      <c r="AR32" s="56"/>
    </row>
    <row r="33" spans="1:44" ht="42" customHeight="1">
      <c r="B33" s="39">
        <v>30</v>
      </c>
      <c r="C33" s="48">
        <v>45492</v>
      </c>
      <c r="D33" s="49">
        <v>0.39513888888888887</v>
      </c>
      <c r="E33" s="39">
        <v>6.3</v>
      </c>
      <c r="F33" s="39">
        <v>5.88</v>
      </c>
      <c r="G33" s="39">
        <v>2559691</v>
      </c>
      <c r="H33" s="39">
        <v>83453</v>
      </c>
      <c r="I33" s="50">
        <v>1300</v>
      </c>
      <c r="J33" s="39">
        <v>35</v>
      </c>
      <c r="K33" s="39">
        <v>783</v>
      </c>
      <c r="M33" s="39">
        <v>1270</v>
      </c>
      <c r="N33" s="39">
        <v>45</v>
      </c>
      <c r="O33" s="39">
        <v>5</v>
      </c>
      <c r="P33" s="39">
        <v>2</v>
      </c>
      <c r="Q33" s="39">
        <v>1.8</v>
      </c>
      <c r="R33" s="39">
        <v>3683</v>
      </c>
      <c r="S33" s="39">
        <v>3435.3</v>
      </c>
      <c r="T33" s="39">
        <v>5498.5</v>
      </c>
      <c r="V33" s="39">
        <v>8.39</v>
      </c>
      <c r="W33" s="41" t="s">
        <v>142</v>
      </c>
      <c r="X33" s="42">
        <f t="shared" si="0"/>
        <v>45492.395138888889</v>
      </c>
      <c r="Y33" s="43">
        <f t="shared" si="1"/>
        <v>57.995833333334303</v>
      </c>
      <c r="AR33" s="56"/>
    </row>
    <row r="34" spans="1:44" ht="42" customHeight="1">
      <c r="B34" s="39">
        <v>31</v>
      </c>
      <c r="C34" s="48">
        <v>45495</v>
      </c>
      <c r="D34" s="49">
        <v>0.40069444444444446</v>
      </c>
      <c r="E34" s="39">
        <v>6.3</v>
      </c>
      <c r="F34" s="39">
        <v>5.85</v>
      </c>
      <c r="G34" s="39">
        <v>2693833</v>
      </c>
      <c r="H34" s="39">
        <v>87779</v>
      </c>
      <c r="I34" s="50">
        <v>1700</v>
      </c>
      <c r="J34" s="39">
        <v>35</v>
      </c>
      <c r="K34" s="39">
        <v>751</v>
      </c>
      <c r="M34" s="39">
        <v>1275</v>
      </c>
      <c r="N34" s="39">
        <v>45</v>
      </c>
      <c r="O34" s="39">
        <v>5</v>
      </c>
      <c r="P34" s="39">
        <v>1.8</v>
      </c>
      <c r="Q34" s="39">
        <v>1.8</v>
      </c>
      <c r="R34" s="39">
        <v>1626.1</v>
      </c>
      <c r="S34" s="39">
        <v>1037.2</v>
      </c>
      <c r="T34" s="39">
        <v>7163.3</v>
      </c>
      <c r="V34" s="39">
        <v>4.3600000000000003</v>
      </c>
      <c r="W34" s="41" t="s">
        <v>143</v>
      </c>
      <c r="X34" s="42">
        <f t="shared" si="0"/>
        <v>45495.400694444441</v>
      </c>
      <c r="Y34" s="160">
        <f t="shared" si="1"/>
        <v>61.00138888888614</v>
      </c>
      <c r="AR34" s="56"/>
    </row>
    <row r="35" spans="1:44" ht="42" customHeight="1">
      <c r="B35" s="39">
        <v>32</v>
      </c>
      <c r="C35" s="48">
        <v>45497</v>
      </c>
      <c r="D35" s="49">
        <v>0.39583333333333331</v>
      </c>
      <c r="E35" s="39">
        <v>6.3</v>
      </c>
      <c r="F35" s="39">
        <v>5.85</v>
      </c>
      <c r="G35" s="39">
        <v>2783745</v>
      </c>
      <c r="H35" s="39">
        <v>90649</v>
      </c>
      <c r="I35" s="50">
        <v>1500</v>
      </c>
      <c r="J35" s="39">
        <v>35</v>
      </c>
      <c r="K35" s="39">
        <v>738</v>
      </c>
      <c r="L35" s="39">
        <v>1643</v>
      </c>
      <c r="N35" s="39">
        <v>45</v>
      </c>
      <c r="O35" s="39">
        <v>5</v>
      </c>
      <c r="P35" s="39">
        <v>1.8</v>
      </c>
      <c r="Q35" s="39">
        <v>1.6</v>
      </c>
      <c r="R35" s="39">
        <v>4076.7</v>
      </c>
      <c r="S35" s="39">
        <v>4620.6000000000004</v>
      </c>
      <c r="T35" s="39">
        <v>8429.7000000000007</v>
      </c>
      <c r="V35" s="39">
        <v>4.0599999999999996</v>
      </c>
      <c r="W35" s="41" t="s">
        <v>144</v>
      </c>
      <c r="X35" s="42">
        <f t="shared" si="0"/>
        <v>45497.395833333336</v>
      </c>
      <c r="Y35" s="43">
        <f t="shared" si="1"/>
        <v>62.996527777781012</v>
      </c>
      <c r="AR35" s="56"/>
    </row>
    <row r="36" spans="1:44" ht="42" customHeight="1">
      <c r="B36" s="39">
        <v>33</v>
      </c>
      <c r="C36" s="48">
        <v>45499</v>
      </c>
      <c r="D36" s="49">
        <v>0.47083333333333338</v>
      </c>
      <c r="E36" s="39">
        <v>6.3</v>
      </c>
      <c r="F36" s="39">
        <v>5.86</v>
      </c>
      <c r="G36" s="39">
        <v>2878307</v>
      </c>
      <c r="H36" s="39">
        <v>93634</v>
      </c>
      <c r="I36" s="50">
        <v>1500</v>
      </c>
      <c r="J36" s="39">
        <v>35</v>
      </c>
      <c r="K36" s="39">
        <v>1616</v>
      </c>
      <c r="N36" s="39">
        <v>45</v>
      </c>
      <c r="O36" s="39">
        <v>5</v>
      </c>
      <c r="P36" s="39">
        <v>1.7</v>
      </c>
      <c r="Q36" s="39">
        <v>1.6</v>
      </c>
      <c r="R36" s="39">
        <v>2952.2</v>
      </c>
      <c r="T36" s="39">
        <v>9647.1</v>
      </c>
      <c r="V36" s="39">
        <v>3.79</v>
      </c>
      <c r="W36" s="41" t="s">
        <v>145</v>
      </c>
      <c r="X36" s="42">
        <f t="shared" si="0"/>
        <v>45499.470833333333</v>
      </c>
      <c r="Y36" s="43">
        <f t="shared" si="1"/>
        <v>65.071527777778101</v>
      </c>
      <c r="AR36" s="56"/>
    </row>
    <row r="37" spans="1:44" ht="72" customHeight="1">
      <c r="B37" s="39">
        <v>34</v>
      </c>
      <c r="C37" s="48">
        <v>45502</v>
      </c>
      <c r="D37" s="49">
        <v>0.3840277777777778</v>
      </c>
      <c r="E37" s="39">
        <v>6.3</v>
      </c>
      <c r="F37" s="39">
        <v>5.87</v>
      </c>
      <c r="G37" s="39">
        <v>3014333</v>
      </c>
      <c r="H37" s="39">
        <v>97826</v>
      </c>
      <c r="I37" s="50">
        <v>1250</v>
      </c>
      <c r="J37" s="39">
        <v>35</v>
      </c>
      <c r="K37" s="39">
        <v>1585</v>
      </c>
      <c r="N37" s="39">
        <v>45</v>
      </c>
      <c r="O37" s="39">
        <v>5</v>
      </c>
      <c r="P37" s="39">
        <v>1.8</v>
      </c>
      <c r="Q37" s="39">
        <v>1.6</v>
      </c>
      <c r="R37" s="39">
        <v>1498.9</v>
      </c>
      <c r="S37" s="39">
        <v>1354.3</v>
      </c>
      <c r="T37" s="39">
        <v>11345</v>
      </c>
      <c r="U37" s="39">
        <v>618.6</v>
      </c>
      <c r="V37" s="39">
        <v>3.62</v>
      </c>
      <c r="W37" s="41" t="s">
        <v>146</v>
      </c>
      <c r="X37" s="42">
        <f t="shared" si="0"/>
        <v>45502.384027777778</v>
      </c>
      <c r="Y37" s="43">
        <f t="shared" si="1"/>
        <v>67.984722222223354</v>
      </c>
      <c r="AR37" s="56"/>
    </row>
    <row r="38" spans="1:44" ht="42" customHeight="1">
      <c r="B38" s="39">
        <v>35</v>
      </c>
      <c r="C38" s="48">
        <v>45504</v>
      </c>
      <c r="D38" s="49">
        <v>0.56666666666666665</v>
      </c>
      <c r="E38" s="39">
        <v>6.3</v>
      </c>
      <c r="F38" s="39">
        <v>5.85</v>
      </c>
      <c r="G38" s="39">
        <v>3115929</v>
      </c>
      <c r="H38" s="39">
        <v>100967</v>
      </c>
      <c r="I38" s="50">
        <v>1600</v>
      </c>
      <c r="J38" s="39">
        <v>35</v>
      </c>
      <c r="K38" s="39">
        <v>1559</v>
      </c>
      <c r="N38" s="39">
        <v>45</v>
      </c>
      <c r="O38" s="39">
        <v>5</v>
      </c>
      <c r="P38" s="39">
        <v>1.8</v>
      </c>
      <c r="Q38" s="39">
        <v>1.6</v>
      </c>
      <c r="R38" s="39">
        <v>4913.3</v>
      </c>
      <c r="S38" s="39">
        <v>6099.4</v>
      </c>
      <c r="T38" s="39">
        <v>1820.5</v>
      </c>
      <c r="U38" s="39">
        <v>743.5</v>
      </c>
      <c r="V38" s="39">
        <v>11.8</v>
      </c>
      <c r="W38" s="41" t="s">
        <v>147</v>
      </c>
      <c r="X38" s="42">
        <f t="shared" si="0"/>
        <v>45504.566666666666</v>
      </c>
      <c r="Y38" s="43">
        <f t="shared" si="1"/>
        <v>70.167361111110949</v>
      </c>
      <c r="AR38" s="56"/>
    </row>
    <row r="39" spans="1:44" ht="42" customHeight="1">
      <c r="B39" s="39">
        <v>36</v>
      </c>
      <c r="C39" s="48">
        <v>45506</v>
      </c>
      <c r="D39" s="49">
        <v>0.55625000000000002</v>
      </c>
      <c r="E39" s="39">
        <v>6.3</v>
      </c>
      <c r="F39" s="39">
        <v>5.86</v>
      </c>
      <c r="G39" s="39">
        <v>3208306</v>
      </c>
      <c r="H39" s="39">
        <v>103830</v>
      </c>
      <c r="I39" s="50">
        <v>1600</v>
      </c>
      <c r="J39" s="39">
        <v>35</v>
      </c>
      <c r="K39" s="39">
        <v>1535</v>
      </c>
      <c r="N39" s="39">
        <v>45</v>
      </c>
      <c r="O39" s="39">
        <v>5</v>
      </c>
      <c r="P39" s="39">
        <v>1.8</v>
      </c>
      <c r="Q39" s="39">
        <v>1.6</v>
      </c>
      <c r="R39" s="39">
        <v>3775.6</v>
      </c>
      <c r="S39" s="57">
        <v>2153.5</v>
      </c>
      <c r="T39" s="39">
        <v>2986.3</v>
      </c>
      <c r="V39" s="39">
        <v>10.68</v>
      </c>
      <c r="X39" s="42">
        <f t="shared" si="0"/>
        <v>45506.556250000001</v>
      </c>
      <c r="Y39" s="43">
        <f t="shared" si="1"/>
        <v>72.156944444446708</v>
      </c>
      <c r="AR39" s="56"/>
    </row>
    <row r="40" spans="1:44" ht="42" customHeight="1">
      <c r="A40" s="53" t="s">
        <v>148</v>
      </c>
      <c r="B40" s="53">
        <v>37</v>
      </c>
      <c r="C40" s="54">
        <v>45509</v>
      </c>
      <c r="D40" s="49">
        <v>0.54583333333333328</v>
      </c>
      <c r="E40" s="39">
        <v>6.3</v>
      </c>
      <c r="F40" s="39">
        <v>5.86</v>
      </c>
      <c r="G40" s="39">
        <v>3351674</v>
      </c>
      <c r="H40" s="39">
        <v>108132</v>
      </c>
      <c r="I40" s="50">
        <v>1450</v>
      </c>
      <c r="J40" s="39">
        <v>35</v>
      </c>
      <c r="K40" s="39">
        <v>1501</v>
      </c>
      <c r="N40" s="39">
        <v>45</v>
      </c>
      <c r="O40" s="39">
        <v>5</v>
      </c>
      <c r="P40" s="39">
        <v>1.8</v>
      </c>
      <c r="Q40" s="39">
        <v>1.6</v>
      </c>
      <c r="R40" s="39">
        <v>2229.4</v>
      </c>
      <c r="S40" s="57">
        <v>1931.7</v>
      </c>
      <c r="T40" s="39">
        <v>4744.3999999999996</v>
      </c>
      <c r="V40" s="39">
        <v>10.1</v>
      </c>
      <c r="W40" s="41" t="s">
        <v>149</v>
      </c>
      <c r="X40" s="42">
        <f t="shared" si="0"/>
        <v>45509.54583333333</v>
      </c>
      <c r="Y40" s="43">
        <f t="shared" si="1"/>
        <v>75.146527777775191</v>
      </c>
      <c r="AR40" s="56"/>
    </row>
    <row r="41" spans="1:44" ht="42" customHeight="1">
      <c r="B41" s="39">
        <v>38</v>
      </c>
      <c r="C41" s="48">
        <v>45511</v>
      </c>
      <c r="D41" s="49">
        <v>0.49236111111111108</v>
      </c>
      <c r="E41" s="39">
        <v>6.3</v>
      </c>
      <c r="F41" s="39">
        <v>5.93</v>
      </c>
      <c r="G41" s="39">
        <v>3447370</v>
      </c>
      <c r="H41" s="39">
        <v>110934</v>
      </c>
      <c r="I41" s="50">
        <v>1500</v>
      </c>
      <c r="J41" s="39">
        <v>35</v>
      </c>
      <c r="K41" s="39">
        <v>1495</v>
      </c>
      <c r="N41" s="39">
        <v>45</v>
      </c>
      <c r="O41" s="39">
        <v>5</v>
      </c>
      <c r="P41" s="39">
        <v>1.8</v>
      </c>
      <c r="Q41" s="39">
        <v>1.55</v>
      </c>
      <c r="R41" s="39">
        <v>4647.2</v>
      </c>
      <c r="S41" s="57">
        <v>5637.9</v>
      </c>
      <c r="T41" s="39">
        <v>5822.1</v>
      </c>
      <c r="V41" s="39">
        <v>13.5</v>
      </c>
      <c r="W41" s="41" t="s">
        <v>150</v>
      </c>
      <c r="X41" s="42">
        <f t="shared" si="0"/>
        <v>45511.492361111108</v>
      </c>
      <c r="Y41" s="43">
        <f t="shared" si="1"/>
        <v>77.093055555553292</v>
      </c>
      <c r="AR41" s="56"/>
    </row>
    <row r="42" spans="1:44" ht="42" customHeight="1">
      <c r="B42" s="39">
        <v>39</v>
      </c>
      <c r="C42" s="48">
        <v>45513</v>
      </c>
      <c r="D42" s="49">
        <v>0.5493055555555556</v>
      </c>
      <c r="E42" s="39">
        <v>6.3</v>
      </c>
      <c r="F42" s="39">
        <v>5.93</v>
      </c>
      <c r="G42" s="39">
        <v>3548905</v>
      </c>
      <c r="H42" s="39">
        <v>113893</v>
      </c>
      <c r="I42" s="50">
        <v>1400</v>
      </c>
      <c r="J42" s="39">
        <v>35</v>
      </c>
      <c r="K42" s="39">
        <v>1495</v>
      </c>
      <c r="N42" s="39">
        <v>45</v>
      </c>
      <c r="O42" s="39">
        <v>5</v>
      </c>
      <c r="P42" s="39">
        <v>1.8</v>
      </c>
      <c r="Q42" s="39">
        <v>1.48</v>
      </c>
      <c r="R42" s="39">
        <v>3669</v>
      </c>
      <c r="T42" s="39">
        <v>6932.5</v>
      </c>
      <c r="V42" s="39">
        <v>13.08</v>
      </c>
      <c r="W42" s="41" t="s">
        <v>151</v>
      </c>
      <c r="X42" s="42">
        <f t="shared" si="0"/>
        <v>45513.549305555556</v>
      </c>
      <c r="Y42" s="43">
        <f t="shared" si="1"/>
        <v>79.150000000001455</v>
      </c>
      <c r="AR42" s="56"/>
    </row>
    <row r="43" spans="1:44" ht="68.25" customHeight="1">
      <c r="B43" s="39">
        <v>40</v>
      </c>
      <c r="C43" s="48">
        <v>45516</v>
      </c>
      <c r="D43" s="49">
        <v>0.54236111111111118</v>
      </c>
      <c r="E43" s="39">
        <v>6.3</v>
      </c>
      <c r="F43" s="39">
        <v>5.9</v>
      </c>
      <c r="G43" s="39">
        <v>3697300</v>
      </c>
      <c r="H43" s="39">
        <v>118200</v>
      </c>
      <c r="I43" s="50">
        <v>1500</v>
      </c>
      <c r="J43" s="39">
        <v>35</v>
      </c>
      <c r="K43" s="39">
        <v>1489</v>
      </c>
      <c r="N43" s="39">
        <v>45</v>
      </c>
      <c r="O43" s="39">
        <v>5</v>
      </c>
      <c r="P43" s="39">
        <v>1.8</v>
      </c>
      <c r="Q43" s="39">
        <v>1.4</v>
      </c>
      <c r="R43" s="39">
        <v>2045.3</v>
      </c>
      <c r="T43" s="39">
        <v>8387.4</v>
      </c>
      <c r="V43" s="39">
        <v>8.6300000000000008</v>
      </c>
      <c r="W43" s="41" t="s">
        <v>152</v>
      </c>
      <c r="X43" s="42">
        <f t="shared" si="0"/>
        <v>45516.542361111111</v>
      </c>
      <c r="Y43" s="43">
        <f t="shared" si="1"/>
        <v>82.143055555556202</v>
      </c>
      <c r="AR43" s="56"/>
    </row>
    <row r="44" spans="1:44" ht="56.25">
      <c r="B44" s="39">
        <v>41</v>
      </c>
      <c r="C44" s="48">
        <v>45518</v>
      </c>
      <c r="D44" s="49">
        <v>0.55694444444444446</v>
      </c>
      <c r="E44" s="39">
        <v>6.3</v>
      </c>
      <c r="F44" s="39">
        <v>5.95</v>
      </c>
      <c r="G44" s="39">
        <v>3798441</v>
      </c>
      <c r="H44" s="39">
        <v>121099</v>
      </c>
      <c r="I44" s="50">
        <v>1480</v>
      </c>
      <c r="J44" s="39">
        <v>35</v>
      </c>
      <c r="K44" s="39">
        <v>1488</v>
      </c>
      <c r="N44" s="39">
        <v>45</v>
      </c>
      <c r="O44" s="39">
        <v>5</v>
      </c>
      <c r="P44" s="39">
        <v>1.78</v>
      </c>
      <c r="Q44" s="39">
        <v>1.4</v>
      </c>
      <c r="R44" s="39">
        <v>1071.4000000000001</v>
      </c>
      <c r="S44" s="39">
        <v>1068.5999999999999</v>
      </c>
      <c r="T44" s="39">
        <v>9395.5</v>
      </c>
      <c r="V44" s="39">
        <v>8.35</v>
      </c>
      <c r="W44" s="41" t="s">
        <v>153</v>
      </c>
      <c r="X44" s="42">
        <f t="shared" si="0"/>
        <v>45518.556944444441</v>
      </c>
      <c r="Y44" s="43">
        <f t="shared" si="1"/>
        <v>84.15763888888614</v>
      </c>
      <c r="AR44" s="56"/>
    </row>
    <row r="45" spans="1:44" ht="42" customHeight="1">
      <c r="B45" s="39">
        <v>42</v>
      </c>
      <c r="C45" s="48">
        <v>45520</v>
      </c>
      <c r="D45" s="49">
        <v>0.6791666666666667</v>
      </c>
      <c r="E45" s="39">
        <v>6.3</v>
      </c>
      <c r="F45" s="39">
        <v>6.01</v>
      </c>
      <c r="G45" s="39">
        <v>3903198</v>
      </c>
      <c r="H45" s="39">
        <v>124153</v>
      </c>
      <c r="I45" s="50">
        <v>1500</v>
      </c>
      <c r="J45" s="39">
        <v>35</v>
      </c>
      <c r="K45" s="39">
        <v>1489</v>
      </c>
      <c r="N45" s="39">
        <v>45</v>
      </c>
      <c r="O45" s="39">
        <v>5</v>
      </c>
      <c r="P45" s="39">
        <v>1.79</v>
      </c>
      <c r="Q45" s="39">
        <v>1.4</v>
      </c>
      <c r="R45" s="39">
        <v>4972.2</v>
      </c>
      <c r="S45" s="39">
        <v>6083.3</v>
      </c>
      <c r="T45" s="39">
        <v>10414</v>
      </c>
      <c r="V45" s="39">
        <v>5.69</v>
      </c>
      <c r="W45" s="41" t="s">
        <v>154</v>
      </c>
      <c r="X45" s="42">
        <f t="shared" si="0"/>
        <v>45520.679166666669</v>
      </c>
      <c r="Y45" s="43">
        <f t="shared" si="1"/>
        <v>86.27986111111386</v>
      </c>
      <c r="AR45" s="56"/>
    </row>
    <row r="46" spans="1:44" ht="42" customHeight="1">
      <c r="B46" s="39">
        <v>43</v>
      </c>
      <c r="C46" s="48">
        <v>45523</v>
      </c>
      <c r="D46" s="49">
        <v>0.54791666666666672</v>
      </c>
      <c r="E46" s="39">
        <v>5.9</v>
      </c>
      <c r="F46" s="39">
        <v>6.02</v>
      </c>
      <c r="G46" s="39">
        <v>4047148</v>
      </c>
      <c r="H46" s="39">
        <v>128281</v>
      </c>
      <c r="I46" s="50">
        <v>1300</v>
      </c>
      <c r="J46" s="39">
        <v>35</v>
      </c>
      <c r="K46" s="39">
        <v>1483</v>
      </c>
      <c r="N46" s="39">
        <v>45</v>
      </c>
      <c r="O46" s="39">
        <v>5</v>
      </c>
      <c r="P46" s="39">
        <v>1.79</v>
      </c>
      <c r="Q46" s="39">
        <v>1.4</v>
      </c>
      <c r="R46" s="39">
        <v>3666.9</v>
      </c>
      <c r="T46" s="39">
        <v>11839</v>
      </c>
      <c r="U46" s="39">
        <v>618.4</v>
      </c>
      <c r="V46" s="39">
        <v>6.53</v>
      </c>
      <c r="W46" s="41" t="s">
        <v>155</v>
      </c>
      <c r="X46" s="42">
        <f t="shared" si="0"/>
        <v>45523.54791666667</v>
      </c>
      <c r="Y46" s="43">
        <f t="shared" si="1"/>
        <v>89.148611111115315</v>
      </c>
      <c r="AR46" s="56"/>
    </row>
    <row r="47" spans="1:44" ht="42" customHeight="1">
      <c r="B47" s="39">
        <v>44</v>
      </c>
      <c r="C47" s="48">
        <v>45525</v>
      </c>
      <c r="D47" s="49">
        <v>0.58680555555555558</v>
      </c>
      <c r="E47" s="39">
        <v>5.9</v>
      </c>
      <c r="F47" s="39">
        <v>6.05</v>
      </c>
      <c r="G47" s="39">
        <v>4151409</v>
      </c>
      <c r="H47" s="39">
        <v>131215</v>
      </c>
      <c r="I47" s="50">
        <v>1400</v>
      </c>
      <c r="J47" s="39">
        <v>35</v>
      </c>
      <c r="K47" s="39">
        <v>1484</v>
      </c>
      <c r="N47" s="39">
        <v>45</v>
      </c>
      <c r="O47" s="39">
        <v>5</v>
      </c>
      <c r="P47" s="39">
        <v>1.9</v>
      </c>
      <c r="Q47" s="39">
        <v>1.45</v>
      </c>
      <c r="R47" s="39">
        <v>2592.5</v>
      </c>
      <c r="T47" s="39">
        <v>1661.1</v>
      </c>
      <c r="V47" s="39">
        <v>5.87</v>
      </c>
      <c r="W47" s="41" t="s">
        <v>156</v>
      </c>
      <c r="X47" s="42">
        <f t="shared" si="0"/>
        <v>45525.586805555555</v>
      </c>
      <c r="Y47" s="43">
        <f t="shared" si="1"/>
        <v>91.1875</v>
      </c>
      <c r="AR47" s="56"/>
    </row>
    <row r="48" spans="1:44" ht="42" customHeight="1">
      <c r="B48" s="39">
        <v>45</v>
      </c>
      <c r="C48" s="48">
        <v>45527</v>
      </c>
      <c r="D48" s="49">
        <v>0.57013888888888886</v>
      </c>
      <c r="E48" s="39">
        <v>5.9</v>
      </c>
      <c r="F48" s="39">
        <v>6.05</v>
      </c>
      <c r="G48" s="39">
        <v>4254358</v>
      </c>
      <c r="H48" s="39">
        <v>134068</v>
      </c>
      <c r="I48" s="50">
        <v>1400</v>
      </c>
      <c r="J48" s="39">
        <v>35</v>
      </c>
      <c r="K48" s="39">
        <v>1486</v>
      </c>
      <c r="N48" s="39">
        <v>45</v>
      </c>
      <c r="O48" s="39">
        <v>5</v>
      </c>
      <c r="P48" s="39">
        <v>1.9</v>
      </c>
      <c r="Q48" s="39">
        <v>1.4</v>
      </c>
      <c r="R48" s="39">
        <v>1586.3</v>
      </c>
      <c r="S48" s="39">
        <v>634.4</v>
      </c>
      <c r="T48" s="39">
        <v>2647.8</v>
      </c>
      <c r="V48" s="39">
        <v>5.2</v>
      </c>
      <c r="W48" s="41" t="s">
        <v>157</v>
      </c>
      <c r="X48" s="42">
        <f t="shared" si="0"/>
        <v>45527.570138888892</v>
      </c>
      <c r="Y48" s="43">
        <f t="shared" si="1"/>
        <v>93.170833333337214</v>
      </c>
      <c r="AR48" s="56"/>
    </row>
    <row r="49" spans="1:44" ht="75">
      <c r="A49" s="53" t="s">
        <v>158</v>
      </c>
      <c r="B49" s="53">
        <v>46</v>
      </c>
      <c r="C49" s="54">
        <v>45530</v>
      </c>
      <c r="D49" s="49">
        <v>0.54999999999999993</v>
      </c>
      <c r="E49" s="39">
        <v>5.9</v>
      </c>
      <c r="F49" s="39">
        <v>6.07</v>
      </c>
      <c r="G49" s="39">
        <v>4407865</v>
      </c>
      <c r="H49" s="39">
        <v>138356</v>
      </c>
      <c r="I49" s="50">
        <v>1500</v>
      </c>
      <c r="J49" s="39">
        <v>35</v>
      </c>
      <c r="K49" s="39">
        <v>1480</v>
      </c>
      <c r="N49" s="39">
        <v>45</v>
      </c>
      <c r="O49" s="39">
        <v>5</v>
      </c>
      <c r="P49" s="39">
        <v>1.9</v>
      </c>
      <c r="Q49" s="39">
        <v>1.3</v>
      </c>
      <c r="R49" s="39">
        <v>4986.6000000000004</v>
      </c>
      <c r="S49" s="39">
        <v>5636.5</v>
      </c>
      <c r="T49" s="39">
        <v>3925.4</v>
      </c>
      <c r="V49" s="39">
        <v>5.85</v>
      </c>
      <c r="W49" s="41" t="s">
        <v>159</v>
      </c>
      <c r="X49" s="42">
        <f t="shared" si="0"/>
        <v>45530.55</v>
      </c>
      <c r="Y49" s="43">
        <f t="shared" si="1"/>
        <v>96.150694444448163</v>
      </c>
      <c r="AR49" s="56"/>
    </row>
    <row r="50" spans="1:44" ht="42" customHeight="1">
      <c r="B50" s="39">
        <v>47</v>
      </c>
      <c r="C50" s="48">
        <v>45532</v>
      </c>
      <c r="D50" s="49">
        <v>0.55902777777777779</v>
      </c>
      <c r="E50" s="39">
        <v>5.9</v>
      </c>
      <c r="F50" s="39">
        <v>6.04</v>
      </c>
      <c r="G50" s="39">
        <v>4508235</v>
      </c>
      <c r="H50" s="39">
        <v>141247</v>
      </c>
      <c r="I50" s="50">
        <v>1400</v>
      </c>
      <c r="J50" s="39">
        <v>35</v>
      </c>
      <c r="K50" s="39">
        <v>1484</v>
      </c>
      <c r="N50" s="39">
        <v>45</v>
      </c>
      <c r="O50" s="39">
        <v>5</v>
      </c>
      <c r="P50" s="39">
        <v>1.9</v>
      </c>
      <c r="Q50" s="39">
        <v>1.4</v>
      </c>
      <c r="R50" s="39">
        <v>4094.4</v>
      </c>
      <c r="T50" s="39">
        <v>4925.2</v>
      </c>
      <c r="V50" s="39">
        <v>5.78</v>
      </c>
      <c r="W50" s="41" t="s">
        <v>160</v>
      </c>
      <c r="X50" s="42">
        <f t="shared" si="0"/>
        <v>45532.559027777781</v>
      </c>
      <c r="Y50" s="43">
        <f t="shared" si="1"/>
        <v>98.159722222226264</v>
      </c>
      <c r="AR50" s="56"/>
    </row>
    <row r="51" spans="1:44" ht="42" customHeight="1">
      <c r="B51" s="39">
        <v>48</v>
      </c>
      <c r="C51" s="48">
        <v>45534</v>
      </c>
      <c r="D51" s="49">
        <v>0.54861111111111105</v>
      </c>
      <c r="E51" s="39">
        <v>5.9</v>
      </c>
      <c r="F51" s="39">
        <v>6.02</v>
      </c>
      <c r="G51" s="39">
        <v>4607418</v>
      </c>
      <c r="H51" s="39">
        <v>144110</v>
      </c>
      <c r="I51" s="50">
        <v>1500</v>
      </c>
      <c r="J51" s="39">
        <v>35</v>
      </c>
      <c r="K51" s="39">
        <v>1482</v>
      </c>
      <c r="N51" s="39">
        <v>45</v>
      </c>
      <c r="O51" s="39">
        <v>5</v>
      </c>
      <c r="P51" s="39">
        <v>2.1</v>
      </c>
      <c r="Q51" s="39">
        <v>1.4</v>
      </c>
      <c r="R51" s="39">
        <v>2956.4</v>
      </c>
      <c r="T51" s="39">
        <v>5894.5</v>
      </c>
      <c r="V51" s="39">
        <v>7.65</v>
      </c>
      <c r="W51" s="41" t="s">
        <v>161</v>
      </c>
      <c r="X51" s="42">
        <f t="shared" si="0"/>
        <v>45534.548611111109</v>
      </c>
      <c r="Y51" s="43">
        <f t="shared" si="1"/>
        <v>100.14930555555475</v>
      </c>
      <c r="AR51" s="56"/>
    </row>
    <row r="52" spans="1:44" ht="42" customHeight="1">
      <c r="B52" s="39">
        <v>49</v>
      </c>
      <c r="C52" s="48">
        <v>45537</v>
      </c>
      <c r="D52" s="49">
        <v>0.53611111111111109</v>
      </c>
      <c r="E52" s="39">
        <v>5.9</v>
      </c>
      <c r="F52" s="39">
        <v>6.02</v>
      </c>
      <c r="G52" s="39">
        <v>4756136</v>
      </c>
      <c r="H52" s="39">
        <v>148410</v>
      </c>
      <c r="I52" s="50">
        <v>1450</v>
      </c>
      <c r="J52" s="39">
        <v>35</v>
      </c>
      <c r="K52" s="39">
        <v>1484</v>
      </c>
      <c r="N52" s="39">
        <v>45</v>
      </c>
      <c r="O52" s="39">
        <v>5</v>
      </c>
      <c r="P52" s="39">
        <v>2</v>
      </c>
      <c r="Q52" s="39">
        <v>1.4</v>
      </c>
      <c r="R52" s="39">
        <v>1509.8</v>
      </c>
      <c r="S52" s="39">
        <v>1434.1</v>
      </c>
      <c r="T52" s="39">
        <v>7403.5</v>
      </c>
      <c r="V52" s="39">
        <v>6.83</v>
      </c>
      <c r="W52" s="41" t="s">
        <v>162</v>
      </c>
      <c r="X52" s="42">
        <f t="shared" si="0"/>
        <v>45537.536111111112</v>
      </c>
      <c r="Y52" s="43">
        <f t="shared" si="1"/>
        <v>103.13680555555766</v>
      </c>
      <c r="AR52" s="56"/>
    </row>
    <row r="53" spans="1:44" ht="42" customHeight="1">
      <c r="B53" s="39">
        <v>50</v>
      </c>
      <c r="C53" s="48">
        <v>45539</v>
      </c>
      <c r="D53" s="49">
        <v>0.54097222222222219</v>
      </c>
      <c r="E53" s="39">
        <v>5.9</v>
      </c>
      <c r="F53" s="39">
        <v>5.97</v>
      </c>
      <c r="G53" s="39">
        <v>4856595</v>
      </c>
      <c r="H53" s="39">
        <v>151294</v>
      </c>
      <c r="I53" s="50">
        <v>1300</v>
      </c>
      <c r="J53" s="39">
        <v>35</v>
      </c>
      <c r="K53" s="39">
        <v>1486</v>
      </c>
      <c r="N53" s="39">
        <v>45</v>
      </c>
      <c r="O53" s="39">
        <v>5</v>
      </c>
      <c r="P53" s="39">
        <v>2.1</v>
      </c>
      <c r="Q53" s="39">
        <v>1.4</v>
      </c>
      <c r="R53" s="39">
        <v>5552.6</v>
      </c>
      <c r="S53" s="39">
        <v>6433.3</v>
      </c>
      <c r="T53" s="39">
        <v>8400.2000000000007</v>
      </c>
      <c r="V53" s="39">
        <v>6.48</v>
      </c>
      <c r="W53" s="41" t="s">
        <v>163</v>
      </c>
      <c r="X53" s="42">
        <f t="shared" si="0"/>
        <v>45539.540972222225</v>
      </c>
      <c r="Y53" s="43">
        <f t="shared" si="1"/>
        <v>105.14166666667006</v>
      </c>
      <c r="AR53" s="56"/>
    </row>
    <row r="54" spans="1:44" ht="42" customHeight="1">
      <c r="B54" s="39">
        <v>51</v>
      </c>
      <c r="C54" s="48">
        <v>45541</v>
      </c>
      <c r="D54" s="49">
        <v>0.47847222222222219</v>
      </c>
      <c r="E54" s="39">
        <v>5.9</v>
      </c>
      <c r="F54" s="39">
        <v>5.97</v>
      </c>
      <c r="G54" s="39">
        <v>4953333</v>
      </c>
      <c r="H54" s="39">
        <v>154082</v>
      </c>
      <c r="I54" s="50">
        <v>1400</v>
      </c>
      <c r="J54" s="39">
        <v>35</v>
      </c>
      <c r="K54" s="39">
        <v>1483</v>
      </c>
      <c r="N54" s="39">
        <v>45</v>
      </c>
      <c r="O54" s="39">
        <v>5</v>
      </c>
      <c r="P54" s="39">
        <v>2.1</v>
      </c>
      <c r="Q54" s="39">
        <v>1.4</v>
      </c>
      <c r="R54" s="39">
        <v>4456.5</v>
      </c>
      <c r="S54" s="39">
        <v>5297.9</v>
      </c>
      <c r="T54" s="39">
        <v>9384</v>
      </c>
      <c r="V54" s="39">
        <v>11.18</v>
      </c>
      <c r="W54" s="41" t="s">
        <v>164</v>
      </c>
      <c r="X54" s="42">
        <f t="shared" si="0"/>
        <v>45541.478472222225</v>
      </c>
      <c r="Y54" s="43">
        <f t="shared" si="1"/>
        <v>107.07916666667006</v>
      </c>
      <c r="AR54" s="56"/>
    </row>
    <row r="55" spans="1:44" ht="42" customHeight="1">
      <c r="B55" s="39">
        <v>52</v>
      </c>
      <c r="C55" s="48">
        <v>45544</v>
      </c>
      <c r="D55" s="49">
        <v>0.6958333333333333</v>
      </c>
      <c r="E55" s="39">
        <v>5.9</v>
      </c>
      <c r="F55" s="39">
        <v>5.99</v>
      </c>
      <c r="G55" s="39">
        <v>5113425</v>
      </c>
      <c r="H55" s="39">
        <v>158712</v>
      </c>
      <c r="I55" s="50">
        <v>1500</v>
      </c>
      <c r="J55" s="39">
        <v>35</v>
      </c>
      <c r="K55" s="39">
        <v>1483</v>
      </c>
      <c r="N55" s="39">
        <v>45</v>
      </c>
      <c r="O55" s="39">
        <v>5</v>
      </c>
      <c r="P55" s="39">
        <v>2.2000000000000002</v>
      </c>
      <c r="Q55" s="39">
        <v>1.4</v>
      </c>
      <c r="R55" s="39">
        <v>2671.6</v>
      </c>
      <c r="T55" s="39">
        <v>11013</v>
      </c>
      <c r="V55" s="39">
        <v>9.06</v>
      </c>
      <c r="X55" s="42">
        <f t="shared" si="0"/>
        <v>45544.695833333331</v>
      </c>
      <c r="Y55" s="43">
        <f t="shared" si="1"/>
        <v>110.29652777777665</v>
      </c>
      <c r="AR55" s="56"/>
    </row>
    <row r="56" spans="1:44" ht="42" customHeight="1">
      <c r="B56" s="39">
        <v>53</v>
      </c>
      <c r="C56" s="48">
        <v>45546</v>
      </c>
      <c r="D56" s="49">
        <v>0.55277777777777781</v>
      </c>
      <c r="E56" s="39">
        <v>5.9</v>
      </c>
      <c r="F56" s="39">
        <v>5.99</v>
      </c>
      <c r="G56" s="39">
        <v>5203023</v>
      </c>
      <c r="H56" s="39">
        <v>161384</v>
      </c>
      <c r="I56" s="50">
        <v>1500</v>
      </c>
      <c r="J56" s="39">
        <v>35</v>
      </c>
      <c r="K56" s="39">
        <v>1489</v>
      </c>
      <c r="N56" s="39">
        <v>45</v>
      </c>
      <c r="O56" s="39">
        <v>5</v>
      </c>
      <c r="P56" s="39">
        <v>2.2000000000000002</v>
      </c>
      <c r="Q56" s="39">
        <v>1.4</v>
      </c>
      <c r="R56" s="39">
        <v>1638.9</v>
      </c>
      <c r="T56" s="39">
        <v>11942</v>
      </c>
      <c r="U56" s="39">
        <v>615.79999999999995</v>
      </c>
      <c r="V56" s="39">
        <v>8.5299999999999994</v>
      </c>
      <c r="W56" s="41" t="s">
        <v>165</v>
      </c>
      <c r="X56" s="42">
        <f t="shared" si="0"/>
        <v>45546.552777777775</v>
      </c>
      <c r="Y56" s="43">
        <f t="shared" si="1"/>
        <v>112.15347222222044</v>
      </c>
      <c r="AR56" s="56"/>
    </row>
    <row r="57" spans="1:44" ht="42" customHeight="1">
      <c r="A57" s="53" t="s">
        <v>166</v>
      </c>
      <c r="B57" s="53">
        <v>54</v>
      </c>
      <c r="C57" s="54">
        <v>45547</v>
      </c>
      <c r="D57" s="49">
        <v>0.59097222222222223</v>
      </c>
      <c r="E57" s="39">
        <v>5.9</v>
      </c>
      <c r="F57" s="39">
        <v>6.02</v>
      </c>
      <c r="G57" s="39">
        <v>5250011</v>
      </c>
      <c r="H57" s="39">
        <v>162878</v>
      </c>
      <c r="I57" s="50">
        <v>1650</v>
      </c>
      <c r="J57" s="39">
        <v>35</v>
      </c>
      <c r="K57" s="39">
        <v>1483</v>
      </c>
      <c r="N57" s="39">
        <v>45</v>
      </c>
      <c r="O57" s="39">
        <v>5</v>
      </c>
      <c r="P57" s="39">
        <v>2.1</v>
      </c>
      <c r="Q57" s="39">
        <v>1.4</v>
      </c>
      <c r="R57" s="39">
        <v>997.7</v>
      </c>
      <c r="S57" s="39">
        <v>5579.8</v>
      </c>
      <c r="T57" s="39">
        <v>1134.5999999999999</v>
      </c>
      <c r="V57" s="39">
        <v>7.53</v>
      </c>
      <c r="W57" s="41" t="s">
        <v>167</v>
      </c>
      <c r="X57" s="42">
        <f t="shared" si="0"/>
        <v>45547.59097222222</v>
      </c>
      <c r="Y57" s="43">
        <f t="shared" si="1"/>
        <v>113.1916666666657</v>
      </c>
      <c r="AR57" s="56"/>
    </row>
    <row r="58" spans="1:44" ht="42" customHeight="1">
      <c r="A58" s="39" t="s">
        <v>168</v>
      </c>
      <c r="B58" s="39">
        <v>55</v>
      </c>
      <c r="C58" s="48">
        <v>45548</v>
      </c>
      <c r="D58" s="49">
        <v>0.67638888888888893</v>
      </c>
      <c r="E58" s="39">
        <v>5.9</v>
      </c>
      <c r="F58" s="39">
        <v>6.01</v>
      </c>
      <c r="G58" s="39">
        <v>5300369</v>
      </c>
      <c r="H58" s="39">
        <v>164439</v>
      </c>
      <c r="I58" s="50">
        <v>1500</v>
      </c>
      <c r="J58" s="39">
        <v>35</v>
      </c>
      <c r="K58" s="39">
        <v>1484</v>
      </c>
      <c r="N58" s="39">
        <v>45</v>
      </c>
      <c r="O58" s="39">
        <v>5</v>
      </c>
      <c r="P58" s="39">
        <v>2.1</v>
      </c>
      <c r="Q58" s="39">
        <v>1.4</v>
      </c>
      <c r="R58" s="39">
        <v>5047.3999999999996</v>
      </c>
      <c r="T58" s="39">
        <v>1666.7</v>
      </c>
      <c r="V58" s="39">
        <v>7.23</v>
      </c>
      <c r="X58" s="42">
        <f t="shared" si="0"/>
        <v>45548.676388888889</v>
      </c>
      <c r="Y58" s="43">
        <f t="shared" si="1"/>
        <v>114.2770833333343</v>
      </c>
      <c r="AR58" s="56"/>
    </row>
    <row r="59" spans="1:44" ht="42" customHeight="1">
      <c r="B59" s="39">
        <v>56</v>
      </c>
      <c r="C59" s="48">
        <v>45551</v>
      </c>
      <c r="D59" s="49">
        <v>0.6875</v>
      </c>
      <c r="E59" s="39">
        <v>5.9</v>
      </c>
      <c r="F59" s="39">
        <v>5.88</v>
      </c>
      <c r="G59" s="39">
        <v>5434198</v>
      </c>
      <c r="H59" s="39">
        <v>168772</v>
      </c>
      <c r="I59" s="50">
        <v>1500</v>
      </c>
      <c r="J59" s="39">
        <v>35</v>
      </c>
      <c r="K59" s="39">
        <v>1484</v>
      </c>
      <c r="N59" s="39">
        <v>45</v>
      </c>
      <c r="O59" s="39">
        <v>5</v>
      </c>
      <c r="P59" s="39">
        <v>2.1</v>
      </c>
      <c r="Q59" s="39">
        <v>1.4</v>
      </c>
      <c r="R59" s="39">
        <v>3590.2</v>
      </c>
      <c r="T59" s="39">
        <v>3168.1</v>
      </c>
      <c r="V59" s="39">
        <v>8.43</v>
      </c>
      <c r="W59" s="41" t="s">
        <v>169</v>
      </c>
      <c r="X59" s="42">
        <f t="shared" si="0"/>
        <v>45551.6875</v>
      </c>
      <c r="Y59" s="43">
        <f t="shared" si="1"/>
        <v>117.28819444444525</v>
      </c>
      <c r="AR59" s="56"/>
    </row>
    <row r="60" spans="1:44" ht="42" customHeight="1">
      <c r="B60" s="39">
        <v>57</v>
      </c>
      <c r="C60" s="48">
        <v>45553</v>
      </c>
      <c r="D60" s="49">
        <v>0.58124999999999993</v>
      </c>
      <c r="E60" s="39">
        <v>5.9</v>
      </c>
      <c r="F60" s="39">
        <v>5.85</v>
      </c>
      <c r="G60" s="39">
        <v>5519136</v>
      </c>
      <c r="H60" s="39">
        <v>171497</v>
      </c>
      <c r="I60" s="50">
        <v>1500</v>
      </c>
      <c r="J60" s="39">
        <v>35</v>
      </c>
      <c r="K60" s="39">
        <v>1482</v>
      </c>
      <c r="N60" s="39">
        <v>45</v>
      </c>
      <c r="O60" s="39">
        <v>5</v>
      </c>
      <c r="P60" s="39">
        <v>2.15</v>
      </c>
      <c r="Q60" s="39">
        <v>1.4</v>
      </c>
      <c r="R60" s="39">
        <v>2581.9</v>
      </c>
      <c r="T60" s="39">
        <v>4102.3999999999996</v>
      </c>
      <c r="V60" s="39">
        <v>4.53</v>
      </c>
      <c r="X60" s="42">
        <f t="shared" si="0"/>
        <v>45553.581250000003</v>
      </c>
      <c r="Y60" s="43">
        <f t="shared" si="1"/>
        <v>119.18194444444816</v>
      </c>
      <c r="AR60" s="56"/>
    </row>
    <row r="61" spans="1:44" ht="42" customHeight="1">
      <c r="B61" s="39">
        <v>58</v>
      </c>
      <c r="C61" s="48">
        <v>45555</v>
      </c>
      <c r="D61" s="49">
        <v>0.60069444444444442</v>
      </c>
      <c r="E61" s="39">
        <v>5.9</v>
      </c>
      <c r="F61" s="39">
        <v>5.79</v>
      </c>
      <c r="G61" s="39">
        <v>5608444</v>
      </c>
      <c r="H61" s="39">
        <v>174403</v>
      </c>
      <c r="I61" s="50">
        <v>1600</v>
      </c>
      <c r="J61" s="39">
        <v>35</v>
      </c>
      <c r="K61" s="39">
        <v>1479</v>
      </c>
      <c r="N61" s="39">
        <v>45</v>
      </c>
      <c r="O61" s="39">
        <v>5</v>
      </c>
      <c r="P61" s="39">
        <v>2.15</v>
      </c>
      <c r="Q61" s="39">
        <v>1.4</v>
      </c>
      <c r="R61" s="39">
        <v>1480.6</v>
      </c>
      <c r="S61" s="39">
        <v>6471</v>
      </c>
      <c r="T61" s="39">
        <v>5069.6000000000004</v>
      </c>
      <c r="V61" s="39">
        <v>9.86</v>
      </c>
      <c r="W61" s="41" t="s">
        <v>170</v>
      </c>
      <c r="X61" s="42">
        <f t="shared" si="0"/>
        <v>45555.600694444445</v>
      </c>
      <c r="Y61" s="43">
        <f t="shared" si="1"/>
        <v>121.20138888889051</v>
      </c>
      <c r="AR61" s="56"/>
    </row>
    <row r="62" spans="1:44" ht="42" customHeight="1">
      <c r="B62" s="39">
        <v>59</v>
      </c>
      <c r="C62" s="48">
        <v>45558</v>
      </c>
      <c r="D62" s="49">
        <v>0.57500000000000007</v>
      </c>
      <c r="E62" s="39">
        <v>5.9</v>
      </c>
      <c r="F62" s="39">
        <v>5.7</v>
      </c>
      <c r="G62" s="39">
        <v>5746273</v>
      </c>
      <c r="H62" s="39">
        <v>178683</v>
      </c>
      <c r="I62" s="50">
        <v>1600</v>
      </c>
      <c r="J62" s="39">
        <v>35</v>
      </c>
      <c r="K62" s="39">
        <v>1479</v>
      </c>
      <c r="N62" s="39">
        <v>45</v>
      </c>
      <c r="O62" s="39">
        <v>5</v>
      </c>
      <c r="P62" s="39">
        <v>2.1</v>
      </c>
      <c r="Q62" s="39">
        <v>1.4</v>
      </c>
      <c r="R62" s="39">
        <v>5046.1000000000004</v>
      </c>
      <c r="T62" s="39">
        <v>6488.2</v>
      </c>
      <c r="V62" s="39">
        <v>5.08</v>
      </c>
      <c r="W62" s="41" t="s">
        <v>171</v>
      </c>
      <c r="X62" s="42">
        <f t="shared" si="0"/>
        <v>45558.574999999997</v>
      </c>
      <c r="Y62" s="43">
        <f t="shared" si="1"/>
        <v>124.17569444444234</v>
      </c>
      <c r="AR62" s="56"/>
    </row>
    <row r="63" spans="1:44" ht="42" customHeight="1">
      <c r="B63" s="39">
        <v>60</v>
      </c>
      <c r="C63" s="48">
        <v>45560</v>
      </c>
      <c r="D63" s="49">
        <v>0.56111111111111112</v>
      </c>
      <c r="E63" s="39">
        <v>6.1</v>
      </c>
      <c r="F63" s="39">
        <v>5.72</v>
      </c>
      <c r="G63" s="39">
        <v>5836905</v>
      </c>
      <c r="H63" s="39">
        <v>181541</v>
      </c>
      <c r="I63" s="50">
        <v>1800</v>
      </c>
      <c r="J63" s="39">
        <v>35</v>
      </c>
      <c r="K63" s="39">
        <v>1473</v>
      </c>
      <c r="N63" s="39">
        <v>45</v>
      </c>
      <c r="O63" s="39">
        <v>5</v>
      </c>
      <c r="P63" s="39">
        <v>2.1</v>
      </c>
      <c r="Q63" s="39">
        <v>1.4</v>
      </c>
      <c r="R63" s="39">
        <v>3893.3</v>
      </c>
      <c r="T63" s="39">
        <v>7416.2</v>
      </c>
      <c r="V63" s="39">
        <v>5.97</v>
      </c>
      <c r="W63" s="41" t="s">
        <v>172</v>
      </c>
      <c r="X63" s="42">
        <f t="shared" si="0"/>
        <v>45560.561111111114</v>
      </c>
      <c r="Y63" s="43">
        <f t="shared" si="1"/>
        <v>126.16180555555911</v>
      </c>
      <c r="AR63" s="56"/>
    </row>
    <row r="64" spans="1:44" ht="42" customHeight="1">
      <c r="B64" s="39">
        <v>61</v>
      </c>
      <c r="C64" s="48">
        <v>45562</v>
      </c>
      <c r="D64" s="49">
        <v>0.58402777777777781</v>
      </c>
      <c r="E64" s="39">
        <v>6.3</v>
      </c>
      <c r="F64" s="39">
        <v>5.79</v>
      </c>
      <c r="G64" s="39">
        <v>5922610</v>
      </c>
      <c r="H64" s="39">
        <v>184452</v>
      </c>
      <c r="I64" s="50">
        <v>1800</v>
      </c>
      <c r="J64" s="39">
        <v>35</v>
      </c>
      <c r="K64" s="39">
        <v>1474</v>
      </c>
      <c r="N64" s="39">
        <v>45</v>
      </c>
      <c r="O64" s="39">
        <v>5</v>
      </c>
      <c r="P64" s="39">
        <v>2</v>
      </c>
      <c r="Q64" s="39">
        <v>1.5</v>
      </c>
      <c r="R64" s="39">
        <v>2837.2</v>
      </c>
      <c r="T64" s="39">
        <v>8427.1</v>
      </c>
      <c r="V64" s="39">
        <v>9.1</v>
      </c>
      <c r="W64" s="41" t="s">
        <v>173</v>
      </c>
      <c r="X64" s="42">
        <f t="shared" si="0"/>
        <v>45562.584027777775</v>
      </c>
      <c r="Y64" s="43">
        <f t="shared" si="1"/>
        <v>128.18472222222044</v>
      </c>
      <c r="AR64" s="56"/>
    </row>
    <row r="65" spans="2:44" ht="42" customHeight="1">
      <c r="B65" s="39">
        <v>62</v>
      </c>
      <c r="C65" s="48">
        <v>45565</v>
      </c>
      <c r="D65" s="49">
        <v>0.57013888888888886</v>
      </c>
      <c r="E65" s="39">
        <v>6.3</v>
      </c>
      <c r="F65" s="39">
        <v>5.79</v>
      </c>
      <c r="G65" s="39">
        <v>6045047</v>
      </c>
      <c r="H65" s="39">
        <v>188749</v>
      </c>
      <c r="I65" s="50">
        <v>1700</v>
      </c>
      <c r="J65" s="39">
        <v>35</v>
      </c>
      <c r="K65" s="39">
        <v>1474</v>
      </c>
      <c r="N65" s="39">
        <v>45</v>
      </c>
      <c r="O65" s="39">
        <v>5</v>
      </c>
      <c r="P65" s="39">
        <v>2</v>
      </c>
      <c r="Q65" s="39">
        <v>1.7</v>
      </c>
      <c r="R65" s="39">
        <v>1253.5</v>
      </c>
      <c r="T65" s="39">
        <v>10162.6</v>
      </c>
      <c r="V65" s="39">
        <v>7.82</v>
      </c>
      <c r="X65" s="42">
        <f t="shared" si="0"/>
        <v>45565.570138888892</v>
      </c>
      <c r="Y65" s="43">
        <f t="shared" si="1"/>
        <v>131.17083333333721</v>
      </c>
      <c r="AR65" s="56"/>
    </row>
    <row r="66" spans="2:44" ht="42" customHeight="1">
      <c r="B66" s="39">
        <v>63</v>
      </c>
      <c r="C66" s="48">
        <v>45566</v>
      </c>
      <c r="D66" s="49">
        <v>0.42430555555555555</v>
      </c>
      <c r="E66" s="39">
        <v>6.3</v>
      </c>
      <c r="F66" s="39">
        <v>5.77</v>
      </c>
      <c r="G66" s="39">
        <v>6081139</v>
      </c>
      <c r="H66" s="39">
        <v>189978</v>
      </c>
      <c r="I66" s="50">
        <v>1600</v>
      </c>
      <c r="J66" s="39">
        <v>35</v>
      </c>
      <c r="K66" s="39">
        <v>1478</v>
      </c>
      <c r="N66" s="39">
        <v>45</v>
      </c>
      <c r="O66" s="39">
        <v>5</v>
      </c>
      <c r="P66" s="39">
        <v>2</v>
      </c>
      <c r="Q66" s="39">
        <v>1.7</v>
      </c>
      <c r="R66" s="39">
        <v>804.8</v>
      </c>
      <c r="T66" s="39">
        <v>10657</v>
      </c>
      <c r="V66" s="39">
        <v>6.26</v>
      </c>
      <c r="W66" s="41" t="s">
        <v>174</v>
      </c>
      <c r="X66" s="42">
        <f t="shared" si="0"/>
        <v>45566.424305555556</v>
      </c>
      <c r="Y66" s="43">
        <f>X66-$X$5</f>
        <v>132.02500000000146</v>
      </c>
      <c r="AR66" s="56"/>
    </row>
    <row r="67" spans="2:44" ht="42" customHeight="1">
      <c r="C67" s="48"/>
      <c r="D67" s="49"/>
      <c r="P67" s="39"/>
      <c r="Q67" s="39"/>
      <c r="V67" s="39"/>
      <c r="AR67" s="5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45AD3-4BDD-47BE-BC8A-CED14241F9B5}">
  <dimension ref="A1:AM65"/>
  <sheetViews>
    <sheetView zoomScale="85" zoomScaleNormal="85" workbookViewId="0">
      <pane xSplit="2" ySplit="3" topLeftCell="M4" activePane="bottomRight" state="frozen"/>
      <selection pane="topRight" activeCell="C1" sqref="C1"/>
      <selection pane="bottomLeft" activeCell="A4" sqref="A4"/>
      <selection pane="bottomRight" activeCell="T13" sqref="T13"/>
    </sheetView>
  </sheetViews>
  <sheetFormatPr defaultRowHeight="15"/>
  <cols>
    <col min="1" max="1" width="12.140625" bestFit="1" customWidth="1"/>
    <col min="2" max="2" width="10.85546875" bestFit="1" customWidth="1"/>
    <col min="3" max="7" width="9.42578125" bestFit="1" customWidth="1"/>
    <col min="8" max="8" width="12.5703125" bestFit="1" customWidth="1"/>
    <col min="9" max="12" width="9.42578125" bestFit="1" customWidth="1"/>
    <col min="13" max="13" width="12.5703125" bestFit="1" customWidth="1"/>
    <col min="14" max="14" width="12" bestFit="1" customWidth="1"/>
    <col min="15" max="15" width="11" bestFit="1" customWidth="1"/>
    <col min="16" max="16" width="10" bestFit="1" customWidth="1"/>
    <col min="17" max="17" width="11" bestFit="1" customWidth="1"/>
    <col min="18" max="18" width="12.5703125" bestFit="1" customWidth="1"/>
    <col min="19" max="19" width="11" style="119" bestFit="1" customWidth="1"/>
    <col min="20" max="22" width="9.28515625" style="119" bestFit="1" customWidth="1"/>
    <col min="23" max="23" width="12.5703125" bestFit="1" customWidth="1"/>
    <col min="24" max="24" width="11.140625" bestFit="1" customWidth="1"/>
    <col min="25" max="25" width="12" bestFit="1" customWidth="1"/>
    <col min="26" max="28" width="11.140625" bestFit="1" customWidth="1"/>
    <col min="29" max="29" width="12.5703125" bestFit="1" customWidth="1"/>
    <col min="30" max="31" width="11.140625" bestFit="1" customWidth="1"/>
    <col min="32" max="33" width="10.7109375" bestFit="1" customWidth="1"/>
    <col min="34" max="34" width="10.140625" bestFit="1" customWidth="1"/>
    <col min="35" max="35" width="12.5703125" bestFit="1" customWidth="1"/>
    <col min="36" max="36" width="11.28515625" bestFit="1" customWidth="1"/>
  </cols>
  <sheetData>
    <row r="1" spans="1:38">
      <c r="D1" t="s">
        <v>194</v>
      </c>
      <c r="I1" s="64" t="s">
        <v>190</v>
      </c>
      <c r="J1" s="64"/>
      <c r="K1" s="64"/>
      <c r="L1" s="65"/>
      <c r="M1" s="65"/>
      <c r="N1" s="62"/>
      <c r="O1" s="62"/>
      <c r="P1" s="62"/>
      <c r="Q1" s="62"/>
      <c r="R1" s="62"/>
      <c r="S1" s="67"/>
      <c r="T1" s="67"/>
      <c r="U1" s="67"/>
      <c r="V1" s="67"/>
      <c r="W1" s="67"/>
      <c r="X1" s="67"/>
      <c r="Y1" s="69"/>
      <c r="Z1" s="69"/>
      <c r="AA1" s="69"/>
      <c r="AB1" s="69"/>
      <c r="AC1" s="69"/>
      <c r="AD1" s="69"/>
      <c r="AE1" s="71" t="s">
        <v>201</v>
      </c>
      <c r="AF1" s="71"/>
      <c r="AG1" s="71"/>
      <c r="AH1" s="71"/>
      <c r="AI1" s="71"/>
      <c r="AJ1" s="71"/>
    </row>
    <row r="2" spans="1:38">
      <c r="C2" t="s">
        <v>187</v>
      </c>
      <c r="D2" t="s">
        <v>177</v>
      </c>
      <c r="E2" t="s">
        <v>177</v>
      </c>
      <c r="F2" t="s">
        <v>177</v>
      </c>
      <c r="G2" t="s">
        <v>177</v>
      </c>
      <c r="H2" t="s">
        <v>177</v>
      </c>
      <c r="I2" s="64" t="s">
        <v>177</v>
      </c>
      <c r="J2" s="64" t="s">
        <v>177</v>
      </c>
      <c r="K2" s="64" t="s">
        <v>177</v>
      </c>
      <c r="L2" s="66" t="s">
        <v>177</v>
      </c>
      <c r="M2" s="66" t="s">
        <v>177</v>
      </c>
      <c r="N2" s="63" t="s">
        <v>197</v>
      </c>
      <c r="O2" s="63" t="s">
        <v>197</v>
      </c>
      <c r="P2" s="63" t="s">
        <v>197</v>
      </c>
      <c r="Q2" s="63" t="s">
        <v>197</v>
      </c>
      <c r="R2" s="63" t="s">
        <v>197</v>
      </c>
      <c r="S2" s="68" t="s">
        <v>195</v>
      </c>
      <c r="T2" s="68" t="s">
        <v>195</v>
      </c>
      <c r="U2" s="68" t="s">
        <v>195</v>
      </c>
      <c r="V2" s="68" t="s">
        <v>195</v>
      </c>
      <c r="W2" s="68" t="s">
        <v>195</v>
      </c>
      <c r="X2" s="68" t="s">
        <v>195</v>
      </c>
      <c r="Y2" s="70" t="s">
        <v>199</v>
      </c>
      <c r="Z2" s="70" t="s">
        <v>199</v>
      </c>
      <c r="AA2" s="70" t="s">
        <v>199</v>
      </c>
      <c r="AB2" s="70" t="s">
        <v>199</v>
      </c>
      <c r="AC2" s="70" t="s">
        <v>199</v>
      </c>
      <c r="AD2" s="70" t="s">
        <v>199</v>
      </c>
      <c r="AE2" s="72" t="s">
        <v>200</v>
      </c>
      <c r="AF2" s="72" t="s">
        <v>200</v>
      </c>
      <c r="AG2" s="72" t="s">
        <v>200</v>
      </c>
      <c r="AH2" s="72" t="s">
        <v>200</v>
      </c>
      <c r="AI2" s="72" t="s">
        <v>200</v>
      </c>
      <c r="AJ2" s="72" t="s">
        <v>200</v>
      </c>
    </row>
    <row r="3" spans="1:38">
      <c r="A3" t="s">
        <v>176</v>
      </c>
      <c r="B3" s="78" t="s">
        <v>176</v>
      </c>
      <c r="C3" t="s">
        <v>186</v>
      </c>
      <c r="D3" t="s">
        <v>191</v>
      </c>
      <c r="E3" t="s">
        <v>192</v>
      </c>
      <c r="F3" t="s">
        <v>193</v>
      </c>
      <c r="G3" t="s">
        <v>196</v>
      </c>
      <c r="H3" t="s">
        <v>245</v>
      </c>
      <c r="I3" s="64" t="s">
        <v>191</v>
      </c>
      <c r="J3" s="64" t="s">
        <v>192</v>
      </c>
      <c r="K3" s="64" t="s">
        <v>193</v>
      </c>
      <c r="L3" s="66" t="s">
        <v>196</v>
      </c>
      <c r="M3" s="66" t="s">
        <v>245</v>
      </c>
      <c r="N3" s="62" t="s">
        <v>191</v>
      </c>
      <c r="O3" s="62" t="s">
        <v>192</v>
      </c>
      <c r="P3" s="62" t="s">
        <v>193</v>
      </c>
      <c r="Q3" s="62" t="s">
        <v>196</v>
      </c>
      <c r="R3" s="62" t="s">
        <v>245</v>
      </c>
      <c r="S3" s="67" t="s">
        <v>191</v>
      </c>
      <c r="T3" s="67" t="s">
        <v>192</v>
      </c>
      <c r="U3" s="67" t="s">
        <v>193</v>
      </c>
      <c r="V3" s="67" t="s">
        <v>196</v>
      </c>
      <c r="W3" s="67" t="s">
        <v>245</v>
      </c>
      <c r="X3" s="67" t="s">
        <v>198</v>
      </c>
      <c r="Y3" s="69" t="s">
        <v>191</v>
      </c>
      <c r="Z3" s="69" t="s">
        <v>192</v>
      </c>
      <c r="AA3" s="69" t="s">
        <v>193</v>
      </c>
      <c r="AB3" s="69" t="s">
        <v>196</v>
      </c>
      <c r="AC3" s="69" t="s">
        <v>245</v>
      </c>
      <c r="AD3" s="69" t="s">
        <v>198</v>
      </c>
      <c r="AE3" s="71" t="s">
        <v>191</v>
      </c>
      <c r="AF3" s="71" t="s">
        <v>192</v>
      </c>
      <c r="AG3" s="71" t="s">
        <v>193</v>
      </c>
      <c r="AH3" s="71" t="s">
        <v>196</v>
      </c>
      <c r="AI3" s="71" t="s">
        <v>245</v>
      </c>
      <c r="AJ3" s="71" t="s">
        <v>198</v>
      </c>
    </row>
    <row r="4" spans="1:38">
      <c r="A4" s="58">
        <f>Rawdata!Y5</f>
        <v>0</v>
      </c>
      <c r="B4" s="121">
        <v>0</v>
      </c>
      <c r="C4">
        <v>10</v>
      </c>
      <c r="D4">
        <v>0</v>
      </c>
      <c r="E4">
        <v>512.27</v>
      </c>
      <c r="F4">
        <v>0</v>
      </c>
      <c r="G4">
        <v>0</v>
      </c>
      <c r="H4">
        <v>100</v>
      </c>
      <c r="I4" s="64">
        <f>C4*D4</f>
        <v>0</v>
      </c>
      <c r="J4" s="64">
        <f>C4*E4</f>
        <v>5122.7</v>
      </c>
      <c r="K4" s="64">
        <f>F4*C4</f>
        <v>0</v>
      </c>
      <c r="L4" s="65">
        <f>C4*G4</f>
        <v>0</v>
      </c>
      <c r="M4" s="65">
        <v>100</v>
      </c>
      <c r="N4" s="62">
        <f>I4/Constants!$C$12</f>
        <v>0</v>
      </c>
      <c r="O4" s="104">
        <f>J4/Constants!$C$11</f>
        <v>59.504007434080606</v>
      </c>
      <c r="P4" s="62">
        <f>K4/Constants!$C$13</f>
        <v>0</v>
      </c>
      <c r="Q4" s="62">
        <f>L4/Constants!$C$14</f>
        <v>0</v>
      </c>
      <c r="R4" s="104">
        <f>M4/Constants!$C$20</f>
        <v>0.36453909499524273</v>
      </c>
      <c r="S4" s="67">
        <f>N4*Constants!$D$12</f>
        <v>0</v>
      </c>
      <c r="T4" s="105">
        <f>O4*Constants!$D$11</f>
        <v>238.01602973632242</v>
      </c>
      <c r="U4" s="67">
        <f>P4*Constants!$D$13</f>
        <v>0</v>
      </c>
      <c r="V4" s="67">
        <f>Q4*Constants!$D$14</f>
        <v>0</v>
      </c>
      <c r="W4" s="105">
        <f>R4*Constants!$D$20</f>
        <v>6.9262428049096121</v>
      </c>
      <c r="X4" s="105">
        <f>SUM(S4:W4)</f>
        <v>244.94227254123203</v>
      </c>
      <c r="Y4" s="69">
        <f>N4*Constants!$E$12</f>
        <v>0</v>
      </c>
      <c r="Z4" s="106">
        <f>O4*Constants!$E$11</f>
        <v>1071.0721338134508</v>
      </c>
      <c r="AA4" s="69">
        <f>P4*Constants!$E$13</f>
        <v>0</v>
      </c>
      <c r="AB4" s="69">
        <f>Q4*Constants!$E$14</f>
        <v>0</v>
      </c>
      <c r="AC4" s="106">
        <f>R4*Constants!$E$20</f>
        <v>31.350362169590873</v>
      </c>
      <c r="AD4" s="106">
        <f>SUM(Y4:AC4)</f>
        <v>1102.4224959830417</v>
      </c>
      <c r="AE4" s="71">
        <f>I4*Constants!$I$12</f>
        <v>0</v>
      </c>
      <c r="AF4" s="114">
        <f>J4*Constants!$I$11</f>
        <v>9054.0744186046504</v>
      </c>
      <c r="AG4" s="71">
        <f>K4*Constants!$I$13</f>
        <v>0</v>
      </c>
      <c r="AH4" s="71">
        <f>L4*Constants!$I$14</f>
        <v>0</v>
      </c>
      <c r="AI4" s="71">
        <f>M4*Constants!$I$20</f>
        <v>250.8</v>
      </c>
      <c r="AJ4" s="114">
        <f>SUM(AE4:AI4)</f>
        <v>9304.8744186046497</v>
      </c>
      <c r="AL4" s="58"/>
    </row>
    <row r="5" spans="1:38">
      <c r="A5" s="58">
        <f>Rawdata!Y6</f>
        <v>1.9791666666642413</v>
      </c>
      <c r="C5">
        <v>10</v>
      </c>
      <c r="D5">
        <v>0</v>
      </c>
      <c r="E5">
        <v>512.27</v>
      </c>
      <c r="F5">
        <v>0</v>
      </c>
      <c r="G5">
        <v>0</v>
      </c>
      <c r="H5">
        <v>100</v>
      </c>
      <c r="I5" s="64">
        <f t="shared" ref="I5:I64" si="0">C5*D5</f>
        <v>0</v>
      </c>
      <c r="J5" s="64">
        <f t="shared" ref="J5:J64" si="1">C5*E5</f>
        <v>5122.7</v>
      </c>
      <c r="K5" s="64">
        <f t="shared" ref="K5:K64" si="2">F5*C5</f>
        <v>0</v>
      </c>
      <c r="L5" s="65">
        <f t="shared" ref="L5:L64" si="3">C5*G5</f>
        <v>0</v>
      </c>
      <c r="M5" s="65">
        <v>100</v>
      </c>
      <c r="N5" s="62">
        <f>I5/Constants!$C$12</f>
        <v>0</v>
      </c>
      <c r="O5" s="104">
        <f>J5/Constants!$C$11</f>
        <v>59.504007434080606</v>
      </c>
      <c r="P5" s="62">
        <f>K5/Constants!$C$13</f>
        <v>0</v>
      </c>
      <c r="Q5" s="62">
        <f>L5/Constants!$C$14</f>
        <v>0</v>
      </c>
      <c r="R5" s="104">
        <f>M5/Constants!$C$20</f>
        <v>0.36453909499524273</v>
      </c>
      <c r="S5" s="67">
        <f>N5*Constants!$D$12</f>
        <v>0</v>
      </c>
      <c r="T5" s="105">
        <f>O5*Constants!$D$11</f>
        <v>238.01602973632242</v>
      </c>
      <c r="U5" s="67">
        <f>P5*Constants!$D$13</f>
        <v>0</v>
      </c>
      <c r="V5" s="67">
        <f>Q5*Constants!$D$14</f>
        <v>0</v>
      </c>
      <c r="W5" s="105">
        <f>R5*Constants!$D$20</f>
        <v>6.9262428049096121</v>
      </c>
      <c r="X5" s="105">
        <f t="shared" ref="X5:X64" si="4">SUM(S5:W5)</f>
        <v>244.94227254123203</v>
      </c>
      <c r="Y5" s="69">
        <f>N5*Constants!$E$12</f>
        <v>0</v>
      </c>
      <c r="Z5" s="106">
        <f>O5*Constants!$E$11</f>
        <v>1071.0721338134508</v>
      </c>
      <c r="AA5" s="69">
        <f>P5*Constants!$E$13</f>
        <v>0</v>
      </c>
      <c r="AB5" s="69">
        <f>Q5*Constants!$E$14</f>
        <v>0</v>
      </c>
      <c r="AC5" s="106">
        <f>R5*Constants!$E$20</f>
        <v>31.350362169590873</v>
      </c>
      <c r="AD5" s="106">
        <f t="shared" ref="AD5:AD64" si="5">SUM(Y5:AC5)</f>
        <v>1102.4224959830417</v>
      </c>
      <c r="AE5" s="71">
        <f>I5*Constants!$I$12</f>
        <v>0</v>
      </c>
      <c r="AF5" s="114">
        <f>J5*Constants!$I$11</f>
        <v>9054.0744186046504</v>
      </c>
      <c r="AG5" s="71">
        <f>K5*Constants!$I$13</f>
        <v>0</v>
      </c>
      <c r="AH5" s="71">
        <f>L5*Constants!$I$14</f>
        <v>0</v>
      </c>
      <c r="AI5" s="71">
        <f>M5*Constants!$I$20</f>
        <v>250.8</v>
      </c>
      <c r="AJ5" s="114">
        <f t="shared" ref="AJ5:AJ64" si="6">SUM(AE5:AI5)</f>
        <v>9304.8744186046497</v>
      </c>
      <c r="AL5" s="58"/>
    </row>
    <row r="6" spans="1:38">
      <c r="A6" s="58">
        <f>Rawdata!Y7</f>
        <v>5.0034722222262644</v>
      </c>
      <c r="C6">
        <v>10</v>
      </c>
      <c r="D6">
        <v>0</v>
      </c>
      <c r="E6">
        <v>512.27</v>
      </c>
      <c r="F6">
        <v>0</v>
      </c>
      <c r="G6">
        <v>0</v>
      </c>
      <c r="H6">
        <v>100</v>
      </c>
      <c r="I6" s="64">
        <f t="shared" si="0"/>
        <v>0</v>
      </c>
      <c r="J6" s="64">
        <f t="shared" si="1"/>
        <v>5122.7</v>
      </c>
      <c r="K6" s="64">
        <f t="shared" si="2"/>
        <v>0</v>
      </c>
      <c r="L6" s="65">
        <f t="shared" si="3"/>
        <v>0</v>
      </c>
      <c r="M6" s="65">
        <v>100</v>
      </c>
      <c r="N6" s="62">
        <f>I6/Constants!$C$12</f>
        <v>0</v>
      </c>
      <c r="O6" s="104">
        <f>J6/Constants!$C$11</f>
        <v>59.504007434080606</v>
      </c>
      <c r="P6" s="62">
        <f>K6/Constants!$C$13</f>
        <v>0</v>
      </c>
      <c r="Q6" s="62">
        <f>L6/Constants!$C$14</f>
        <v>0</v>
      </c>
      <c r="R6" s="104">
        <f>M6/Constants!$C$20</f>
        <v>0.36453909499524273</v>
      </c>
      <c r="S6" s="67">
        <f>N6*Constants!$D$12</f>
        <v>0</v>
      </c>
      <c r="T6" s="105">
        <f>O6*Constants!$D$11</f>
        <v>238.01602973632242</v>
      </c>
      <c r="U6" s="67">
        <f>P6*Constants!$D$13</f>
        <v>0</v>
      </c>
      <c r="V6" s="67">
        <f>Q6*Constants!$D$14</f>
        <v>0</v>
      </c>
      <c r="W6" s="105">
        <f>R6*Constants!$D$20</f>
        <v>6.9262428049096121</v>
      </c>
      <c r="X6" s="105">
        <f t="shared" si="4"/>
        <v>244.94227254123203</v>
      </c>
      <c r="Y6" s="69">
        <f>N6*Constants!$E$12</f>
        <v>0</v>
      </c>
      <c r="Z6" s="106">
        <f>O6*Constants!$E$11</f>
        <v>1071.0721338134508</v>
      </c>
      <c r="AA6" s="69">
        <f>P6*Constants!$E$13</f>
        <v>0</v>
      </c>
      <c r="AB6" s="69">
        <f>Q6*Constants!$E$14</f>
        <v>0</v>
      </c>
      <c r="AC6" s="106">
        <f>R6*Constants!$E$20</f>
        <v>31.350362169590873</v>
      </c>
      <c r="AD6" s="106">
        <f t="shared" si="5"/>
        <v>1102.4224959830417</v>
      </c>
      <c r="AE6" s="71">
        <f>I6*Constants!$I$12</f>
        <v>0</v>
      </c>
      <c r="AF6" s="114">
        <f>J6*Constants!$I$11</f>
        <v>9054.0744186046504</v>
      </c>
      <c r="AG6" s="71">
        <f>K6*Constants!$I$13</f>
        <v>0</v>
      </c>
      <c r="AH6" s="71">
        <f>L6*Constants!$I$14</f>
        <v>0</v>
      </c>
      <c r="AI6" s="71">
        <f>M6*Constants!$I$20</f>
        <v>250.8</v>
      </c>
      <c r="AJ6" s="114">
        <f t="shared" si="6"/>
        <v>9304.8744186046497</v>
      </c>
      <c r="AL6" s="58"/>
    </row>
    <row r="7" spans="1:38">
      <c r="A7" s="58">
        <f>Rawdata!Y8</f>
        <v>7.015972222223354</v>
      </c>
      <c r="C7">
        <v>10</v>
      </c>
      <c r="D7">
        <v>0</v>
      </c>
      <c r="E7">
        <v>512.27</v>
      </c>
      <c r="F7">
        <v>0</v>
      </c>
      <c r="G7">
        <v>0</v>
      </c>
      <c r="H7">
        <v>100</v>
      </c>
      <c r="I7" s="64">
        <f t="shared" si="0"/>
        <v>0</v>
      </c>
      <c r="J7" s="64">
        <f t="shared" si="1"/>
        <v>5122.7</v>
      </c>
      <c r="K7" s="64">
        <f t="shared" si="2"/>
        <v>0</v>
      </c>
      <c r="L7" s="65">
        <f t="shared" si="3"/>
        <v>0</v>
      </c>
      <c r="M7" s="65">
        <v>100</v>
      </c>
      <c r="N7" s="62">
        <f>I7/Constants!$C$12</f>
        <v>0</v>
      </c>
      <c r="O7" s="104">
        <f>J7/Constants!$C$11</f>
        <v>59.504007434080606</v>
      </c>
      <c r="P7" s="62">
        <f>K7/Constants!$C$13</f>
        <v>0</v>
      </c>
      <c r="Q7" s="62">
        <f>L7/Constants!$C$14</f>
        <v>0</v>
      </c>
      <c r="R7" s="104">
        <f>M7/Constants!$C$20</f>
        <v>0.36453909499524273</v>
      </c>
      <c r="S7" s="67">
        <f>N7*Constants!$D$12</f>
        <v>0</v>
      </c>
      <c r="T7" s="105">
        <f>O7*Constants!$D$11</f>
        <v>238.01602973632242</v>
      </c>
      <c r="U7" s="67">
        <f>P7*Constants!$D$13</f>
        <v>0</v>
      </c>
      <c r="V7" s="67">
        <f>Q7*Constants!$D$14</f>
        <v>0</v>
      </c>
      <c r="W7" s="105">
        <f>R7*Constants!$D$20</f>
        <v>6.9262428049096121</v>
      </c>
      <c r="X7" s="105">
        <f t="shared" si="4"/>
        <v>244.94227254123203</v>
      </c>
      <c r="Y7" s="69">
        <f>N7*Constants!$E$12</f>
        <v>0</v>
      </c>
      <c r="Z7" s="106">
        <f>O7*Constants!$E$11</f>
        <v>1071.0721338134508</v>
      </c>
      <c r="AA7" s="69">
        <f>P7*Constants!$E$13</f>
        <v>0</v>
      </c>
      <c r="AB7" s="69">
        <f>Q7*Constants!$E$14</f>
        <v>0</v>
      </c>
      <c r="AC7" s="106">
        <f>R7*Constants!$E$20</f>
        <v>31.350362169590873</v>
      </c>
      <c r="AD7" s="106">
        <f t="shared" si="5"/>
        <v>1102.4224959830417</v>
      </c>
      <c r="AE7" s="71">
        <f>I7*Constants!$I$12</f>
        <v>0</v>
      </c>
      <c r="AF7" s="114">
        <f>J7*Constants!$I$11</f>
        <v>9054.0744186046504</v>
      </c>
      <c r="AG7" s="71">
        <f>K7*Constants!$I$13</f>
        <v>0</v>
      </c>
      <c r="AH7" s="71">
        <f>L7*Constants!$I$14</f>
        <v>0</v>
      </c>
      <c r="AI7" s="71">
        <f>M7*Constants!$I$20</f>
        <v>250.8</v>
      </c>
      <c r="AJ7" s="114">
        <f t="shared" si="6"/>
        <v>9304.8744186046497</v>
      </c>
      <c r="AL7" s="58"/>
    </row>
    <row r="8" spans="1:38">
      <c r="A8" s="58">
        <f>Rawdata!Y9</f>
        <v>9.0881944444481633</v>
      </c>
      <c r="C8">
        <v>10</v>
      </c>
      <c r="D8">
        <v>0</v>
      </c>
      <c r="E8">
        <v>512.27</v>
      </c>
      <c r="F8">
        <v>0</v>
      </c>
      <c r="G8">
        <v>0</v>
      </c>
      <c r="H8">
        <v>100</v>
      </c>
      <c r="I8" s="64">
        <f t="shared" si="0"/>
        <v>0</v>
      </c>
      <c r="J8" s="64">
        <f t="shared" si="1"/>
        <v>5122.7</v>
      </c>
      <c r="K8" s="64">
        <f>F8*C8</f>
        <v>0</v>
      </c>
      <c r="L8" s="65">
        <f t="shared" si="3"/>
        <v>0</v>
      </c>
      <c r="M8" s="65">
        <v>100</v>
      </c>
      <c r="N8" s="62">
        <f>I8/Constants!$C$12</f>
        <v>0</v>
      </c>
      <c r="O8" s="104">
        <f>J8/Constants!$C$11</f>
        <v>59.504007434080606</v>
      </c>
      <c r="P8" s="62">
        <f>K8/Constants!$C$13</f>
        <v>0</v>
      </c>
      <c r="Q8" s="62">
        <f>L8/Constants!$C$14</f>
        <v>0</v>
      </c>
      <c r="R8" s="104">
        <f>M8/Constants!$C$20</f>
        <v>0.36453909499524273</v>
      </c>
      <c r="S8" s="67">
        <f>N8*Constants!$D$12</f>
        <v>0</v>
      </c>
      <c r="T8" s="105">
        <f>O8*Constants!$D$11</f>
        <v>238.01602973632242</v>
      </c>
      <c r="U8" s="67">
        <f>P8*Constants!$D$13</f>
        <v>0</v>
      </c>
      <c r="V8" s="67">
        <f>Q8*Constants!$D$14</f>
        <v>0</v>
      </c>
      <c r="W8" s="105">
        <f>R8*Constants!$D$20</f>
        <v>6.9262428049096121</v>
      </c>
      <c r="X8" s="105">
        <f t="shared" si="4"/>
        <v>244.94227254123203</v>
      </c>
      <c r="Y8" s="69">
        <f>N8*Constants!$E$12</f>
        <v>0</v>
      </c>
      <c r="Z8" s="106">
        <f>O8*Constants!$E$11</f>
        <v>1071.0721338134508</v>
      </c>
      <c r="AA8" s="69">
        <f>P8*Constants!$E$13</f>
        <v>0</v>
      </c>
      <c r="AB8" s="69">
        <f>Q8*Constants!$E$14</f>
        <v>0</v>
      </c>
      <c r="AC8" s="106">
        <f>R8*Constants!$E$20</f>
        <v>31.350362169590873</v>
      </c>
      <c r="AD8" s="106">
        <f t="shared" si="5"/>
        <v>1102.4224959830417</v>
      </c>
      <c r="AE8" s="71">
        <f>I8*Constants!$I$12</f>
        <v>0</v>
      </c>
      <c r="AF8" s="114">
        <f>J8*Constants!$I$11</f>
        <v>9054.0744186046504</v>
      </c>
      <c r="AG8" s="71">
        <f>K8*Constants!$I$13</f>
        <v>0</v>
      </c>
      <c r="AH8" s="71">
        <f>L8*Constants!$I$14</f>
        <v>0</v>
      </c>
      <c r="AI8" s="71">
        <f>M8*Constants!$I$20</f>
        <v>250.8</v>
      </c>
      <c r="AJ8" s="114">
        <f t="shared" si="6"/>
        <v>9304.8744186046497</v>
      </c>
      <c r="AL8" s="58"/>
    </row>
    <row r="9" spans="1:38">
      <c r="A9" s="58">
        <f>Rawdata!Y10</f>
        <v>9.2743055555547471</v>
      </c>
      <c r="B9" s="121">
        <v>9.2743055555547471</v>
      </c>
      <c r="C9">
        <v>10</v>
      </c>
      <c r="D9">
        <v>0</v>
      </c>
      <c r="E9">
        <v>515.42999999999995</v>
      </c>
      <c r="F9">
        <v>0</v>
      </c>
      <c r="G9">
        <v>0</v>
      </c>
      <c r="H9">
        <v>100</v>
      </c>
      <c r="I9" s="64">
        <f t="shared" si="0"/>
        <v>0</v>
      </c>
      <c r="J9" s="64">
        <f t="shared" si="1"/>
        <v>5154.2999999999993</v>
      </c>
      <c r="K9" s="64">
        <f t="shared" si="2"/>
        <v>0</v>
      </c>
      <c r="L9" s="65">
        <f t="shared" si="3"/>
        <v>0</v>
      </c>
      <c r="M9" s="65">
        <v>100</v>
      </c>
      <c r="N9" s="62">
        <f>I9/Constants!$C$12</f>
        <v>0</v>
      </c>
      <c r="O9" s="104">
        <f>J9/Constants!$C$11</f>
        <v>59.871065164362868</v>
      </c>
      <c r="P9" s="62">
        <f>K9/Constants!$C$13</f>
        <v>0</v>
      </c>
      <c r="Q9" s="62">
        <f>L9/Constants!$C$14</f>
        <v>0</v>
      </c>
      <c r="R9" s="104">
        <f>M9/Constants!$C$20</f>
        <v>0.36453909499524273</v>
      </c>
      <c r="S9" s="67">
        <f>N9*Constants!$D$12</f>
        <v>0</v>
      </c>
      <c r="T9" s="105">
        <f>O9*Constants!$D$11</f>
        <v>239.48426065745147</v>
      </c>
      <c r="U9" s="67">
        <f>P9*Constants!$D$13</f>
        <v>0</v>
      </c>
      <c r="V9" s="67">
        <f>Q9*Constants!$D$14</f>
        <v>0</v>
      </c>
      <c r="W9" s="105">
        <f>R9*Constants!$D$20</f>
        <v>6.9262428049096121</v>
      </c>
      <c r="X9" s="105">
        <f t="shared" si="4"/>
        <v>246.41050346236108</v>
      </c>
      <c r="Y9" s="69">
        <f>N9*Constants!$E$12</f>
        <v>0</v>
      </c>
      <c r="Z9" s="106">
        <f>O9*Constants!$E$11</f>
        <v>1077.6791729585316</v>
      </c>
      <c r="AA9" s="69">
        <f>P9*Constants!$E$13</f>
        <v>0</v>
      </c>
      <c r="AB9" s="69">
        <f>Q9*Constants!$E$14</f>
        <v>0</v>
      </c>
      <c r="AC9" s="106">
        <f>R9*Constants!$E$20</f>
        <v>31.350362169590873</v>
      </c>
      <c r="AD9" s="106">
        <f t="shared" si="5"/>
        <v>1109.0295351281225</v>
      </c>
      <c r="AE9" s="71">
        <f>I9*Constants!$I$12</f>
        <v>0</v>
      </c>
      <c r="AF9" s="114">
        <f>J9*Constants!$I$11</f>
        <v>9109.9255813953478</v>
      </c>
      <c r="AG9" s="71">
        <f>K9*Constants!$I$13</f>
        <v>0</v>
      </c>
      <c r="AH9" s="71">
        <f>L9*Constants!$I$14</f>
        <v>0</v>
      </c>
      <c r="AI9" s="71">
        <f>M9*Constants!$I$20</f>
        <v>250.8</v>
      </c>
      <c r="AJ9" s="114">
        <f t="shared" si="6"/>
        <v>9360.725581395347</v>
      </c>
      <c r="AL9" s="58">
        <v>12235</v>
      </c>
    </row>
    <row r="10" spans="1:38">
      <c r="A10" s="58">
        <f>Rawdata!Y11</f>
        <v>11.993055555554747</v>
      </c>
      <c r="C10">
        <v>10</v>
      </c>
      <c r="D10">
        <v>0</v>
      </c>
      <c r="E10">
        <v>515.42999999999995</v>
      </c>
      <c r="F10">
        <v>0</v>
      </c>
      <c r="G10">
        <v>0</v>
      </c>
      <c r="H10">
        <v>100</v>
      </c>
      <c r="I10" s="64">
        <f t="shared" si="0"/>
        <v>0</v>
      </c>
      <c r="J10" s="64">
        <f t="shared" si="1"/>
        <v>5154.2999999999993</v>
      </c>
      <c r="K10" s="64">
        <f t="shared" si="2"/>
        <v>0</v>
      </c>
      <c r="L10" s="65">
        <f t="shared" si="3"/>
        <v>0</v>
      </c>
      <c r="M10" s="65">
        <v>100</v>
      </c>
      <c r="N10" s="62">
        <f>I10/Constants!$C$12</f>
        <v>0</v>
      </c>
      <c r="O10" s="104">
        <f>J10/Constants!$C$11</f>
        <v>59.871065164362868</v>
      </c>
      <c r="P10" s="62">
        <f>K10/Constants!$C$13</f>
        <v>0</v>
      </c>
      <c r="Q10" s="62">
        <f>L10/Constants!$C$14</f>
        <v>0</v>
      </c>
      <c r="R10" s="104">
        <f>M10/Constants!$C$20</f>
        <v>0.36453909499524273</v>
      </c>
      <c r="S10" s="67">
        <f>N10*Constants!$D$12</f>
        <v>0</v>
      </c>
      <c r="T10" s="105">
        <f>O10*Constants!$D$11</f>
        <v>239.48426065745147</v>
      </c>
      <c r="U10" s="67">
        <f>P10*Constants!$D$13</f>
        <v>0</v>
      </c>
      <c r="V10" s="67">
        <f>Q10*Constants!$D$14</f>
        <v>0</v>
      </c>
      <c r="W10" s="105">
        <f>R10*Constants!$D$20</f>
        <v>6.9262428049096121</v>
      </c>
      <c r="X10" s="105">
        <f t="shared" si="4"/>
        <v>246.41050346236108</v>
      </c>
      <c r="Y10" s="69">
        <f>N10*Constants!$E$12</f>
        <v>0</v>
      </c>
      <c r="Z10" s="106">
        <f>O10*Constants!$E$11</f>
        <v>1077.6791729585316</v>
      </c>
      <c r="AA10" s="69">
        <f>P10*Constants!$E$13</f>
        <v>0</v>
      </c>
      <c r="AB10" s="69">
        <f>Q10*Constants!$E$14</f>
        <v>0</v>
      </c>
      <c r="AC10" s="106">
        <f>R10*Constants!$E$20</f>
        <v>31.350362169590873</v>
      </c>
      <c r="AD10" s="106">
        <f t="shared" si="5"/>
        <v>1109.0295351281225</v>
      </c>
      <c r="AE10" s="71">
        <f>I10*Constants!$I$12</f>
        <v>0</v>
      </c>
      <c r="AF10" s="114">
        <f>J10*Constants!$I$11</f>
        <v>9109.9255813953478</v>
      </c>
      <c r="AG10" s="71">
        <f>K10*Constants!$I$13</f>
        <v>0</v>
      </c>
      <c r="AH10" s="71">
        <f>L10*Constants!$I$14</f>
        <v>0</v>
      </c>
      <c r="AI10" s="71">
        <f>M10*Constants!$I$20</f>
        <v>250.8</v>
      </c>
      <c r="AJ10" s="114">
        <f t="shared" si="6"/>
        <v>9360.725581395347</v>
      </c>
    </row>
    <row r="11" spans="1:38">
      <c r="A11" s="58">
        <f>Rawdata!Y12</f>
        <v>14.045138888890506</v>
      </c>
      <c r="C11">
        <v>10</v>
      </c>
      <c r="D11">
        <v>0</v>
      </c>
      <c r="E11">
        <v>515.42999999999995</v>
      </c>
      <c r="F11">
        <v>0</v>
      </c>
      <c r="G11">
        <v>0</v>
      </c>
      <c r="H11">
        <v>100</v>
      </c>
      <c r="I11" s="64">
        <f t="shared" si="0"/>
        <v>0</v>
      </c>
      <c r="J11" s="64">
        <f>C11*E11</f>
        <v>5154.2999999999993</v>
      </c>
      <c r="K11" s="64">
        <f t="shared" si="2"/>
        <v>0</v>
      </c>
      <c r="L11" s="65">
        <f t="shared" si="3"/>
        <v>0</v>
      </c>
      <c r="M11" s="65">
        <v>100</v>
      </c>
      <c r="N11" s="62">
        <f>I11/Constants!$C$12</f>
        <v>0</v>
      </c>
      <c r="O11" s="104">
        <f>J11/Constants!$C$11</f>
        <v>59.871065164362868</v>
      </c>
      <c r="P11" s="62">
        <f>K11/Constants!$C$13</f>
        <v>0</v>
      </c>
      <c r="Q11" s="62">
        <f>L11/Constants!$C$14</f>
        <v>0</v>
      </c>
      <c r="R11" s="104">
        <f>M11/Constants!$C$20</f>
        <v>0.36453909499524273</v>
      </c>
      <c r="S11" s="67">
        <f>N11*Constants!$D$12</f>
        <v>0</v>
      </c>
      <c r="T11" s="105">
        <f>O11*Constants!$D$11</f>
        <v>239.48426065745147</v>
      </c>
      <c r="U11" s="67">
        <f>P11*Constants!$D$13</f>
        <v>0</v>
      </c>
      <c r="V11" s="67">
        <f>Q11*Constants!$D$14</f>
        <v>0</v>
      </c>
      <c r="W11" s="105">
        <f>R11*Constants!$D$20</f>
        <v>6.9262428049096121</v>
      </c>
      <c r="X11" s="105">
        <f t="shared" si="4"/>
        <v>246.41050346236108</v>
      </c>
      <c r="Y11" s="69">
        <f>N11*Constants!$E$12</f>
        <v>0</v>
      </c>
      <c r="Z11" s="106">
        <f>O11*Constants!$E$11</f>
        <v>1077.6791729585316</v>
      </c>
      <c r="AA11" s="69">
        <f>P11*Constants!$E$13</f>
        <v>0</v>
      </c>
      <c r="AB11" s="69">
        <f>Q11*Constants!$E$14</f>
        <v>0</v>
      </c>
      <c r="AC11" s="106">
        <f>R11*Constants!$E$20</f>
        <v>31.350362169590873</v>
      </c>
      <c r="AD11" s="106">
        <f t="shared" si="5"/>
        <v>1109.0295351281225</v>
      </c>
      <c r="AE11" s="71">
        <f>I11*Constants!$I$12</f>
        <v>0</v>
      </c>
      <c r="AF11" s="114">
        <f>J11*Constants!$I$11</f>
        <v>9109.9255813953478</v>
      </c>
      <c r="AG11" s="71">
        <f>K11*Constants!$I$13</f>
        <v>0</v>
      </c>
      <c r="AH11" s="71">
        <f>L11*Constants!$I$14</f>
        <v>0</v>
      </c>
      <c r="AI11" s="71">
        <f>M11*Constants!$I$20</f>
        <v>250.8</v>
      </c>
      <c r="AJ11" s="114">
        <f t="shared" si="6"/>
        <v>9360.725581395347</v>
      </c>
    </row>
    <row r="12" spans="1:38">
      <c r="A12" s="58">
        <f>Rawdata!Y13</f>
        <v>16.038194444445253</v>
      </c>
      <c r="B12" s="121">
        <v>16.038194444445253</v>
      </c>
      <c r="C12">
        <v>10</v>
      </c>
      <c r="D12">
        <v>0</v>
      </c>
      <c r="E12">
        <v>513.95000000000005</v>
      </c>
      <c r="F12">
        <v>0</v>
      </c>
      <c r="G12">
        <v>0</v>
      </c>
      <c r="H12">
        <v>100</v>
      </c>
      <c r="I12" s="64">
        <f t="shared" si="0"/>
        <v>0</v>
      </c>
      <c r="J12" s="64">
        <f t="shared" si="1"/>
        <v>5139.5</v>
      </c>
      <c r="K12" s="64">
        <f t="shared" si="2"/>
        <v>0</v>
      </c>
      <c r="L12" s="65">
        <f t="shared" si="3"/>
        <v>0</v>
      </c>
      <c r="M12" s="65">
        <v>100</v>
      </c>
      <c r="N12" s="62">
        <f>I12/Constants!$C$12</f>
        <v>0</v>
      </c>
      <c r="O12" s="104">
        <f>J12/Constants!$C$11</f>
        <v>59.699152050180039</v>
      </c>
      <c r="P12" s="62">
        <f>K12/Constants!$C$13</f>
        <v>0</v>
      </c>
      <c r="Q12" s="62">
        <f>L12/Constants!$C$14</f>
        <v>0</v>
      </c>
      <c r="R12" s="104">
        <f>M12/Constants!$C$20</f>
        <v>0.36453909499524273</v>
      </c>
      <c r="S12" s="67">
        <f>N12*Constants!$D$12</f>
        <v>0</v>
      </c>
      <c r="T12" s="105">
        <f>O12*Constants!$D$11</f>
        <v>238.79660820072016</v>
      </c>
      <c r="U12" s="67">
        <f>P12*Constants!$D$13</f>
        <v>0</v>
      </c>
      <c r="V12" s="67">
        <f>Q12*Constants!$D$14</f>
        <v>0</v>
      </c>
      <c r="W12" s="105">
        <f>R12*Constants!$D$20</f>
        <v>6.9262428049096121</v>
      </c>
      <c r="X12" s="105">
        <f t="shared" si="4"/>
        <v>245.72285100562976</v>
      </c>
      <c r="Y12" s="69">
        <f>N12*Constants!$E$12</f>
        <v>0</v>
      </c>
      <c r="Z12" s="106">
        <f>O12*Constants!$E$11</f>
        <v>1074.5847369032408</v>
      </c>
      <c r="AA12" s="69">
        <f>P12*Constants!$E$13</f>
        <v>0</v>
      </c>
      <c r="AB12" s="69">
        <f>Q12*Constants!$E$14</f>
        <v>0</v>
      </c>
      <c r="AC12" s="106">
        <f>R12*Constants!$E$20</f>
        <v>31.350362169590873</v>
      </c>
      <c r="AD12" s="106">
        <f t="shared" si="5"/>
        <v>1105.9350990728317</v>
      </c>
      <c r="AE12" s="71">
        <f>I12*Constants!$I$12</f>
        <v>0</v>
      </c>
      <c r="AF12" s="114">
        <f>J12*Constants!$I$11</f>
        <v>9083.7674418604656</v>
      </c>
      <c r="AG12" s="71">
        <f>K12*Constants!$I$13</f>
        <v>0</v>
      </c>
      <c r="AH12" s="71">
        <f>L12*Constants!$I$14</f>
        <v>0</v>
      </c>
      <c r="AI12" s="71">
        <f>M12*Constants!$I$20</f>
        <v>250.8</v>
      </c>
      <c r="AJ12" s="114">
        <f t="shared" si="6"/>
        <v>9334.5674418604649</v>
      </c>
    </row>
    <row r="13" spans="1:38">
      <c r="A13" s="58">
        <f>Rawdata!Y14</f>
        <v>18.993055555554747</v>
      </c>
      <c r="B13" s="121">
        <v>17.12</v>
      </c>
      <c r="C13">
        <v>10</v>
      </c>
      <c r="D13">
        <v>0</v>
      </c>
      <c r="E13">
        <v>477.35</v>
      </c>
      <c r="F13">
        <v>0</v>
      </c>
      <c r="G13">
        <v>0</v>
      </c>
      <c r="H13">
        <v>100</v>
      </c>
      <c r="I13" s="64">
        <f t="shared" si="0"/>
        <v>0</v>
      </c>
      <c r="J13" s="64">
        <f t="shared" si="1"/>
        <v>4773.5</v>
      </c>
      <c r="K13" s="64">
        <f t="shared" si="2"/>
        <v>0</v>
      </c>
      <c r="L13" s="65">
        <f t="shared" si="3"/>
        <v>0</v>
      </c>
      <c r="M13" s="65">
        <v>100</v>
      </c>
      <c r="N13" s="62">
        <f>I13/Constants!$C$12</f>
        <v>0</v>
      </c>
      <c r="O13" s="104">
        <f>J13/Constants!$C$11</f>
        <v>55.447787199442445</v>
      </c>
      <c r="P13" s="62">
        <f>K13/Constants!$C$13</f>
        <v>0</v>
      </c>
      <c r="Q13" s="62">
        <f>L13/Constants!$C$14</f>
        <v>0</v>
      </c>
      <c r="R13" s="104">
        <f>M13/Constants!$C$20</f>
        <v>0.36453909499524273</v>
      </c>
      <c r="S13" s="67">
        <f>N13*Constants!$D$12</f>
        <v>0</v>
      </c>
      <c r="T13" s="105">
        <f>O13*Constants!$D$11</f>
        <v>221.79114879776978</v>
      </c>
      <c r="U13" s="67">
        <f>P13*Constants!$D$13</f>
        <v>0</v>
      </c>
      <c r="V13" s="67">
        <f>Q13*Constants!$D$14</f>
        <v>0</v>
      </c>
      <c r="W13" s="105">
        <f>R13*Constants!$D$20</f>
        <v>6.9262428049096121</v>
      </c>
      <c r="X13" s="105">
        <f t="shared" si="4"/>
        <v>228.71739160267938</v>
      </c>
      <c r="Y13" s="69">
        <f>N13*Constants!$E$12</f>
        <v>0</v>
      </c>
      <c r="Z13" s="106">
        <f>O13*Constants!$E$11</f>
        <v>998.06016958996406</v>
      </c>
      <c r="AA13" s="69">
        <f>P13*Constants!$E$13</f>
        <v>0</v>
      </c>
      <c r="AB13" s="69">
        <f>Q13*Constants!$E$14</f>
        <v>0</v>
      </c>
      <c r="AC13" s="106">
        <f>R13*Constants!$E$20</f>
        <v>31.350362169590873</v>
      </c>
      <c r="AD13" s="106">
        <f t="shared" si="5"/>
        <v>1029.4105317595549</v>
      </c>
      <c r="AE13" s="71">
        <f>I13*Constants!$I$12</f>
        <v>0</v>
      </c>
      <c r="AF13" s="114">
        <f>J13*Constants!$I$11</f>
        <v>8436.8837209302328</v>
      </c>
      <c r="AG13" s="71">
        <f>K13*Constants!$I$13</f>
        <v>0</v>
      </c>
      <c r="AH13" s="71">
        <f>L13*Constants!$I$14</f>
        <v>0</v>
      </c>
      <c r="AI13" s="71">
        <f>M13*Constants!$I$20</f>
        <v>250.8</v>
      </c>
      <c r="AJ13" s="114">
        <f t="shared" si="6"/>
        <v>8687.6837209302321</v>
      </c>
      <c r="AL13" s="58">
        <v>12052.5</v>
      </c>
    </row>
    <row r="14" spans="1:38">
      <c r="A14" s="58">
        <f>Rawdata!Y15</f>
        <v>21.045138888890506</v>
      </c>
      <c r="C14">
        <v>10</v>
      </c>
      <c r="D14">
        <v>0</v>
      </c>
      <c r="E14">
        <v>477.35</v>
      </c>
      <c r="F14">
        <v>0</v>
      </c>
      <c r="G14">
        <v>0</v>
      </c>
      <c r="H14">
        <v>100</v>
      </c>
      <c r="I14" s="64">
        <f t="shared" si="0"/>
        <v>0</v>
      </c>
      <c r="J14" s="64">
        <f t="shared" si="1"/>
        <v>4773.5</v>
      </c>
      <c r="K14" s="64">
        <f t="shared" si="2"/>
        <v>0</v>
      </c>
      <c r="L14" s="65">
        <f t="shared" si="3"/>
        <v>0</v>
      </c>
      <c r="M14" s="65">
        <v>100</v>
      </c>
      <c r="N14" s="62">
        <f>I14/Constants!$C$12</f>
        <v>0</v>
      </c>
      <c r="O14" s="104">
        <f>J14/Constants!$C$11</f>
        <v>55.447787199442445</v>
      </c>
      <c r="P14" s="62">
        <f>K14/Constants!$C$13</f>
        <v>0</v>
      </c>
      <c r="Q14" s="62">
        <f>L14/Constants!$C$14</f>
        <v>0</v>
      </c>
      <c r="R14" s="104">
        <f>M14/Constants!$C$20</f>
        <v>0.36453909499524273</v>
      </c>
      <c r="S14" s="67">
        <f>N14*Constants!$D$12</f>
        <v>0</v>
      </c>
      <c r="T14" s="105">
        <f>O14*Constants!$D$11</f>
        <v>221.79114879776978</v>
      </c>
      <c r="U14" s="67">
        <f>P14*Constants!$D$13</f>
        <v>0</v>
      </c>
      <c r="V14" s="67">
        <f>Q14*Constants!$D$14</f>
        <v>0</v>
      </c>
      <c r="W14" s="105">
        <f>R14*Constants!$D$20</f>
        <v>6.9262428049096121</v>
      </c>
      <c r="X14" s="105">
        <f t="shared" si="4"/>
        <v>228.71739160267938</v>
      </c>
      <c r="Y14" s="69">
        <f>N14*Constants!$E$12</f>
        <v>0</v>
      </c>
      <c r="Z14" s="106">
        <f>O14*Constants!$E$11</f>
        <v>998.06016958996406</v>
      </c>
      <c r="AA14" s="69">
        <f>P14*Constants!$E$13</f>
        <v>0</v>
      </c>
      <c r="AB14" s="69">
        <f>Q14*Constants!$E$14</f>
        <v>0</v>
      </c>
      <c r="AC14" s="106">
        <f>R14*Constants!$E$20</f>
        <v>31.350362169590873</v>
      </c>
      <c r="AD14" s="106">
        <f t="shared" si="5"/>
        <v>1029.4105317595549</v>
      </c>
      <c r="AE14" s="71">
        <f>I14*Constants!$I$12</f>
        <v>0</v>
      </c>
      <c r="AF14" s="114">
        <f>J14*Constants!$I$11</f>
        <v>8436.8837209302328</v>
      </c>
      <c r="AG14" s="71">
        <f>K14*Constants!$I$13</f>
        <v>0</v>
      </c>
      <c r="AH14" s="71">
        <f>L14*Constants!$I$14</f>
        <v>0</v>
      </c>
      <c r="AI14" s="71">
        <f>M14*Constants!$I$20</f>
        <v>250.8</v>
      </c>
      <c r="AJ14" s="114">
        <f t="shared" si="6"/>
        <v>8687.6837209302321</v>
      </c>
    </row>
    <row r="15" spans="1:38">
      <c r="A15" s="58">
        <f>Rawdata!Y16</f>
        <v>23.013888888890506</v>
      </c>
      <c r="C15">
        <v>10</v>
      </c>
      <c r="D15">
        <v>0</v>
      </c>
      <c r="E15">
        <v>477.35</v>
      </c>
      <c r="F15">
        <v>0</v>
      </c>
      <c r="G15">
        <v>0</v>
      </c>
      <c r="H15">
        <v>100</v>
      </c>
      <c r="I15" s="64">
        <f t="shared" si="0"/>
        <v>0</v>
      </c>
      <c r="J15" s="64">
        <f t="shared" si="1"/>
        <v>4773.5</v>
      </c>
      <c r="K15" s="64">
        <f t="shared" si="2"/>
        <v>0</v>
      </c>
      <c r="L15" s="65">
        <f t="shared" si="3"/>
        <v>0</v>
      </c>
      <c r="M15" s="65">
        <v>100</v>
      </c>
      <c r="N15" s="62">
        <f>I15/Constants!$C$12</f>
        <v>0</v>
      </c>
      <c r="O15" s="104">
        <f>J15/Constants!$C$11</f>
        <v>55.447787199442445</v>
      </c>
      <c r="P15" s="62">
        <f>K15/Constants!$C$13</f>
        <v>0</v>
      </c>
      <c r="Q15" s="62">
        <f>L15/Constants!$C$14</f>
        <v>0</v>
      </c>
      <c r="R15" s="104">
        <f>M15/Constants!$C$20</f>
        <v>0.36453909499524273</v>
      </c>
      <c r="S15" s="67">
        <f>N15*Constants!$D$12</f>
        <v>0</v>
      </c>
      <c r="T15" s="105">
        <f>O15*Constants!$D$11</f>
        <v>221.79114879776978</v>
      </c>
      <c r="U15" s="67">
        <f>P15*Constants!$D$13</f>
        <v>0</v>
      </c>
      <c r="V15" s="67">
        <f>Q15*Constants!$D$14</f>
        <v>0</v>
      </c>
      <c r="W15" s="105">
        <f>R15*Constants!$D$20</f>
        <v>6.9262428049096121</v>
      </c>
      <c r="X15" s="105">
        <f t="shared" si="4"/>
        <v>228.71739160267938</v>
      </c>
      <c r="Y15" s="69">
        <f>N15*Constants!$E$12</f>
        <v>0</v>
      </c>
      <c r="Z15" s="106">
        <f>O15*Constants!$E$11</f>
        <v>998.06016958996406</v>
      </c>
      <c r="AA15" s="69">
        <f>P15*Constants!$E$13</f>
        <v>0</v>
      </c>
      <c r="AB15" s="69">
        <f>Q15*Constants!$E$14</f>
        <v>0</v>
      </c>
      <c r="AC15" s="106">
        <f>R15*Constants!$E$20</f>
        <v>31.350362169590873</v>
      </c>
      <c r="AD15" s="106">
        <f t="shared" si="5"/>
        <v>1029.4105317595549</v>
      </c>
      <c r="AE15" s="71">
        <f>I15*Constants!$I$12</f>
        <v>0</v>
      </c>
      <c r="AF15" s="114">
        <f>J15*Constants!$I$11</f>
        <v>8436.8837209302328</v>
      </c>
      <c r="AG15" s="71">
        <f>K15*Constants!$I$13</f>
        <v>0</v>
      </c>
      <c r="AH15" s="71">
        <f>L15*Constants!$I$14</f>
        <v>0</v>
      </c>
      <c r="AI15" s="71">
        <f>M15*Constants!$I$20</f>
        <v>250.8</v>
      </c>
      <c r="AJ15" s="114">
        <f t="shared" si="6"/>
        <v>8687.6837209302321</v>
      </c>
    </row>
    <row r="16" spans="1:38">
      <c r="A16" s="58">
        <f>Rawdata!Y17</f>
        <v>26.003472222226264</v>
      </c>
      <c r="C16">
        <v>10</v>
      </c>
      <c r="D16">
        <v>0</v>
      </c>
      <c r="E16">
        <v>477.35</v>
      </c>
      <c r="F16">
        <v>0</v>
      </c>
      <c r="G16">
        <v>0</v>
      </c>
      <c r="H16">
        <v>100</v>
      </c>
      <c r="I16" s="64">
        <f t="shared" si="0"/>
        <v>0</v>
      </c>
      <c r="J16" s="64">
        <f t="shared" si="1"/>
        <v>4773.5</v>
      </c>
      <c r="K16" s="64">
        <f t="shared" si="2"/>
        <v>0</v>
      </c>
      <c r="L16" s="65">
        <f t="shared" si="3"/>
        <v>0</v>
      </c>
      <c r="M16" s="65">
        <v>100</v>
      </c>
      <c r="N16" s="62">
        <f>I16/Constants!$C$12</f>
        <v>0</v>
      </c>
      <c r="O16" s="104">
        <f>J16/Constants!$C$11</f>
        <v>55.447787199442445</v>
      </c>
      <c r="P16" s="62">
        <f>K16/Constants!$C$13</f>
        <v>0</v>
      </c>
      <c r="Q16" s="62">
        <f>L16/Constants!$C$14</f>
        <v>0</v>
      </c>
      <c r="R16" s="104">
        <f>M16/Constants!$C$20</f>
        <v>0.36453909499524273</v>
      </c>
      <c r="S16" s="67">
        <f>N16*Constants!$D$12</f>
        <v>0</v>
      </c>
      <c r="T16" s="105">
        <f>O16*Constants!$D$11</f>
        <v>221.79114879776978</v>
      </c>
      <c r="U16" s="67">
        <f>P16*Constants!$D$13</f>
        <v>0</v>
      </c>
      <c r="V16" s="67">
        <f>Q16*Constants!$D$14</f>
        <v>0</v>
      </c>
      <c r="W16" s="105">
        <f>R16*Constants!$D$20</f>
        <v>6.9262428049096121</v>
      </c>
      <c r="X16" s="105">
        <f t="shared" si="4"/>
        <v>228.71739160267938</v>
      </c>
      <c r="Y16" s="69">
        <f>N16*Constants!$E$12</f>
        <v>0</v>
      </c>
      <c r="Z16" s="106">
        <f>O16*Constants!$E$11</f>
        <v>998.06016958996406</v>
      </c>
      <c r="AA16" s="69">
        <f>P16*Constants!$E$13</f>
        <v>0</v>
      </c>
      <c r="AB16" s="69">
        <f>Q16*Constants!$E$14</f>
        <v>0</v>
      </c>
      <c r="AC16" s="106">
        <f>R16*Constants!$E$20</f>
        <v>31.350362169590873</v>
      </c>
      <c r="AD16" s="106">
        <f t="shared" si="5"/>
        <v>1029.4105317595549</v>
      </c>
      <c r="AE16" s="71">
        <f>I16*Constants!$I$12</f>
        <v>0</v>
      </c>
      <c r="AF16" s="114">
        <f>J16*Constants!$I$11</f>
        <v>8436.8837209302328</v>
      </c>
      <c r="AG16" s="71">
        <f>K16*Constants!$I$13</f>
        <v>0</v>
      </c>
      <c r="AH16" s="71">
        <f>L16*Constants!$I$14</f>
        <v>0</v>
      </c>
      <c r="AI16" s="71">
        <f>M16*Constants!$I$20</f>
        <v>250.8</v>
      </c>
      <c r="AJ16" s="114">
        <f t="shared" si="6"/>
        <v>8687.6837209302321</v>
      </c>
    </row>
    <row r="17" spans="1:38">
      <c r="A17" s="58">
        <f>Rawdata!Y18</f>
        <v>28.02986111111386</v>
      </c>
      <c r="C17">
        <v>10</v>
      </c>
      <c r="D17">
        <v>0</v>
      </c>
      <c r="E17">
        <v>477.35</v>
      </c>
      <c r="F17">
        <v>0</v>
      </c>
      <c r="G17">
        <v>0</v>
      </c>
      <c r="H17">
        <v>100</v>
      </c>
      <c r="I17" s="64">
        <f t="shared" si="0"/>
        <v>0</v>
      </c>
      <c r="J17" s="64">
        <f t="shared" si="1"/>
        <v>4773.5</v>
      </c>
      <c r="K17" s="64">
        <f t="shared" si="2"/>
        <v>0</v>
      </c>
      <c r="L17" s="65">
        <f t="shared" si="3"/>
        <v>0</v>
      </c>
      <c r="M17" s="65">
        <v>100</v>
      </c>
      <c r="N17" s="62">
        <f>I17/Constants!$C$12</f>
        <v>0</v>
      </c>
      <c r="O17" s="104">
        <f>J17/Constants!$C$11</f>
        <v>55.447787199442445</v>
      </c>
      <c r="P17" s="62">
        <f>K17/Constants!$C$13</f>
        <v>0</v>
      </c>
      <c r="Q17" s="62">
        <f>L17/Constants!$C$14</f>
        <v>0</v>
      </c>
      <c r="R17" s="104">
        <f>M17/Constants!$C$20</f>
        <v>0.36453909499524273</v>
      </c>
      <c r="S17" s="67">
        <f>N17*Constants!$D$12</f>
        <v>0</v>
      </c>
      <c r="T17" s="105">
        <f>O17*Constants!$D$11</f>
        <v>221.79114879776978</v>
      </c>
      <c r="U17" s="67">
        <f>P17*Constants!$D$13</f>
        <v>0</v>
      </c>
      <c r="V17" s="67">
        <f>Q17*Constants!$D$14</f>
        <v>0</v>
      </c>
      <c r="W17" s="105">
        <f>R17*Constants!$D$20</f>
        <v>6.9262428049096121</v>
      </c>
      <c r="X17" s="105">
        <f t="shared" si="4"/>
        <v>228.71739160267938</v>
      </c>
      <c r="Y17" s="69">
        <f>N17*Constants!$E$12</f>
        <v>0</v>
      </c>
      <c r="Z17" s="106">
        <f>O17*Constants!$E$11</f>
        <v>998.06016958996406</v>
      </c>
      <c r="AA17" s="69">
        <f>P17*Constants!$E$13</f>
        <v>0</v>
      </c>
      <c r="AB17" s="69">
        <f>Q17*Constants!$E$14</f>
        <v>0</v>
      </c>
      <c r="AC17" s="106">
        <f>R17*Constants!$E$20</f>
        <v>31.350362169590873</v>
      </c>
      <c r="AD17" s="106">
        <f t="shared" si="5"/>
        <v>1029.4105317595549</v>
      </c>
      <c r="AE17" s="71">
        <f>I17*Constants!$I$12</f>
        <v>0</v>
      </c>
      <c r="AF17" s="114">
        <f>J17*Constants!$I$11</f>
        <v>8436.8837209302328</v>
      </c>
      <c r="AG17" s="71">
        <f>K17*Constants!$I$13</f>
        <v>0</v>
      </c>
      <c r="AH17" s="71">
        <f>L17*Constants!$I$14</f>
        <v>0</v>
      </c>
      <c r="AI17" s="71">
        <f>M17*Constants!$I$20</f>
        <v>250.8</v>
      </c>
      <c r="AJ17" s="114">
        <f t="shared" si="6"/>
        <v>8687.6837209302321</v>
      </c>
    </row>
    <row r="18" spans="1:38">
      <c r="A18" s="58">
        <f>Rawdata!Y19</f>
        <v>29.149305555554747</v>
      </c>
      <c r="B18" s="121">
        <v>29.15</v>
      </c>
      <c r="C18">
        <v>20</v>
      </c>
      <c r="D18">
        <v>233.74</v>
      </c>
      <c r="E18" s="86">
        <v>178.22</v>
      </c>
      <c r="F18">
        <v>0</v>
      </c>
      <c r="G18">
        <v>0</v>
      </c>
      <c r="H18">
        <v>100</v>
      </c>
      <c r="I18" s="64">
        <f t="shared" si="0"/>
        <v>4674.8</v>
      </c>
      <c r="J18" s="64">
        <f>C18*E18</f>
        <v>3564.4</v>
      </c>
      <c r="K18" s="64">
        <f t="shared" si="2"/>
        <v>0</v>
      </c>
      <c r="L18" s="65">
        <f t="shared" si="3"/>
        <v>0</v>
      </c>
      <c r="M18" s="65">
        <v>100</v>
      </c>
      <c r="N18" s="62">
        <f>I18/Constants!$C$12</f>
        <v>44.904879231925612</v>
      </c>
      <c r="O18" s="104">
        <f>J18/Constants!$C$11</f>
        <v>41.403182715762576</v>
      </c>
      <c r="P18" s="62">
        <f>K18/Constants!$C$13</f>
        <v>0</v>
      </c>
      <c r="Q18" s="62">
        <f>L18/Constants!$C$14</f>
        <v>0</v>
      </c>
      <c r="R18" s="104">
        <f>M18/Constants!$C$20</f>
        <v>0.36453909499524273</v>
      </c>
      <c r="S18" s="67">
        <f>N18*Constants!$D$12</f>
        <v>179.61951692770245</v>
      </c>
      <c r="T18" s="105">
        <f>O18*Constants!$D$11</f>
        <v>165.6127308630503</v>
      </c>
      <c r="U18" s="67">
        <f>P18*Constants!$D$13</f>
        <v>0</v>
      </c>
      <c r="V18" s="67">
        <f>Q18*Constants!$D$14</f>
        <v>0</v>
      </c>
      <c r="W18" s="105">
        <f>R18*Constants!$D$20</f>
        <v>6.9262428049096121</v>
      </c>
      <c r="X18" s="105">
        <f t="shared" si="4"/>
        <v>352.15849059566239</v>
      </c>
      <c r="Y18" s="69">
        <f>N18*Constants!$E$12</f>
        <v>808.28782617466106</v>
      </c>
      <c r="Z18" s="106">
        <f>O18*Constants!$E$11</f>
        <v>745.25728888372635</v>
      </c>
      <c r="AA18" s="69">
        <f>P18*Constants!$E$13</f>
        <v>0</v>
      </c>
      <c r="AB18" s="69">
        <f>Q18*Constants!$E$14</f>
        <v>0</v>
      </c>
      <c r="AC18" s="106">
        <f>R18*Constants!$E$20</f>
        <v>31.350362169590873</v>
      </c>
      <c r="AD18" s="106">
        <f t="shared" si="5"/>
        <v>1584.8954772279783</v>
      </c>
      <c r="AE18" s="71">
        <f>I18*Constants!$I$12</f>
        <v>6472.8</v>
      </c>
      <c r="AF18" s="114">
        <f>J18*Constants!$I$11</f>
        <v>6299.8697674418609</v>
      </c>
      <c r="AG18" s="71">
        <f>K18*Constants!$I$13</f>
        <v>0</v>
      </c>
      <c r="AH18" s="71">
        <f>L18*Constants!$I$14</f>
        <v>0</v>
      </c>
      <c r="AI18" s="71">
        <f>M18*Constants!$I$20</f>
        <v>250.8</v>
      </c>
      <c r="AJ18" s="114">
        <f>SUM(AE18:AI18)</f>
        <v>13023.46976744186</v>
      </c>
      <c r="AL18" s="58">
        <v>14775</v>
      </c>
    </row>
    <row r="19" spans="1:38">
      <c r="A19" s="58">
        <f>Rawdata!Y20</f>
        <v>29.990972222221899</v>
      </c>
      <c r="C19">
        <v>20</v>
      </c>
      <c r="D19">
        <v>233.74</v>
      </c>
      <c r="E19" s="86">
        <v>178.22</v>
      </c>
      <c r="F19">
        <v>0</v>
      </c>
      <c r="G19">
        <v>0</v>
      </c>
      <c r="H19">
        <v>100</v>
      </c>
      <c r="I19" s="64">
        <f t="shared" si="0"/>
        <v>4674.8</v>
      </c>
      <c r="J19" s="64">
        <f t="shared" si="1"/>
        <v>3564.4</v>
      </c>
      <c r="K19" s="64">
        <f t="shared" si="2"/>
        <v>0</v>
      </c>
      <c r="L19" s="65">
        <f t="shared" si="3"/>
        <v>0</v>
      </c>
      <c r="M19" s="65">
        <v>100</v>
      </c>
      <c r="N19" s="62">
        <f>I19/Constants!$C$12</f>
        <v>44.904879231925612</v>
      </c>
      <c r="O19" s="104">
        <f>J19/Constants!$C$11</f>
        <v>41.403182715762576</v>
      </c>
      <c r="P19" s="62">
        <f>K19/Constants!$C$13</f>
        <v>0</v>
      </c>
      <c r="Q19" s="62">
        <f>L19/Constants!$C$14</f>
        <v>0</v>
      </c>
      <c r="R19" s="104">
        <f>M19/Constants!$C$20</f>
        <v>0.36453909499524273</v>
      </c>
      <c r="S19" s="67">
        <f>N19*Constants!$D$12</f>
        <v>179.61951692770245</v>
      </c>
      <c r="T19" s="105">
        <f>O19*Constants!$D$11</f>
        <v>165.6127308630503</v>
      </c>
      <c r="U19" s="67">
        <f>P19*Constants!$D$13</f>
        <v>0</v>
      </c>
      <c r="V19" s="67">
        <f>Q19*Constants!$D$14</f>
        <v>0</v>
      </c>
      <c r="W19" s="105">
        <f>R19*Constants!$D$20</f>
        <v>6.9262428049096121</v>
      </c>
      <c r="X19" s="105">
        <f t="shared" si="4"/>
        <v>352.15849059566239</v>
      </c>
      <c r="Y19" s="69">
        <f>N19*Constants!$E$12</f>
        <v>808.28782617466106</v>
      </c>
      <c r="Z19" s="106">
        <f>O19*Constants!$E$11</f>
        <v>745.25728888372635</v>
      </c>
      <c r="AA19" s="69">
        <f>P19*Constants!$E$13</f>
        <v>0</v>
      </c>
      <c r="AB19" s="69">
        <f>Q19*Constants!$E$14</f>
        <v>0</v>
      </c>
      <c r="AC19" s="106">
        <f>R19*Constants!$E$20</f>
        <v>31.350362169590873</v>
      </c>
      <c r="AD19" s="106">
        <f t="shared" si="5"/>
        <v>1584.8954772279783</v>
      </c>
      <c r="AE19" s="71">
        <f>I19*Constants!$I$12</f>
        <v>6472.8</v>
      </c>
      <c r="AF19" s="114">
        <f>J19*Constants!$I$11</f>
        <v>6299.8697674418609</v>
      </c>
      <c r="AG19" s="71">
        <f>K19*Constants!$I$13</f>
        <v>0</v>
      </c>
      <c r="AH19" s="71">
        <f>L19*Constants!$I$14</f>
        <v>0</v>
      </c>
      <c r="AI19" s="71">
        <f>M19*Constants!$I$20</f>
        <v>250.8</v>
      </c>
      <c r="AJ19" s="114">
        <f t="shared" si="6"/>
        <v>13023.46976744186</v>
      </c>
    </row>
    <row r="20" spans="1:38">
      <c r="A20" s="58">
        <f>Rawdata!Y21</f>
        <v>32.990972222221899</v>
      </c>
      <c r="C20">
        <v>20</v>
      </c>
      <c r="D20">
        <v>233.74</v>
      </c>
      <c r="E20" s="86">
        <v>178.22</v>
      </c>
      <c r="F20">
        <v>0</v>
      </c>
      <c r="G20">
        <v>0</v>
      </c>
      <c r="H20">
        <v>100</v>
      </c>
      <c r="I20" s="64">
        <f t="shared" si="0"/>
        <v>4674.8</v>
      </c>
      <c r="J20" s="64">
        <f>C20*E20</f>
        <v>3564.4</v>
      </c>
      <c r="K20" s="64">
        <f t="shared" si="2"/>
        <v>0</v>
      </c>
      <c r="L20" s="65">
        <f t="shared" si="3"/>
        <v>0</v>
      </c>
      <c r="M20" s="65">
        <v>100</v>
      </c>
      <c r="N20" s="104">
        <f>I20/Constants!$C$12</f>
        <v>44.904879231925612</v>
      </c>
      <c r="O20" s="104">
        <f>J20/Constants!$C$11</f>
        <v>41.403182715762576</v>
      </c>
      <c r="P20" s="62">
        <f>K20/Constants!$C$13</f>
        <v>0</v>
      </c>
      <c r="Q20" s="62">
        <f>L20/Constants!$C$14</f>
        <v>0</v>
      </c>
      <c r="R20" s="104">
        <f>M20/Constants!$C$20</f>
        <v>0.36453909499524273</v>
      </c>
      <c r="S20" s="105">
        <f>N20*Constants!$D$12</f>
        <v>179.61951692770245</v>
      </c>
      <c r="T20" s="105">
        <f>O20*Constants!$D$11</f>
        <v>165.6127308630503</v>
      </c>
      <c r="U20" s="67">
        <f>P20*Constants!$D$13</f>
        <v>0</v>
      </c>
      <c r="V20" s="67">
        <f>Q20*Constants!$D$14</f>
        <v>0</v>
      </c>
      <c r="W20" s="105">
        <f>R20*Constants!$D$20</f>
        <v>6.9262428049096121</v>
      </c>
      <c r="X20" s="105">
        <f t="shared" si="4"/>
        <v>352.15849059566239</v>
      </c>
      <c r="Y20" s="106">
        <f>N20*Constants!$E$12</f>
        <v>808.28782617466106</v>
      </c>
      <c r="Z20" s="106">
        <f>O20*Constants!$E$11</f>
        <v>745.25728888372635</v>
      </c>
      <c r="AA20" s="69">
        <f>P20*Constants!$E$13</f>
        <v>0</v>
      </c>
      <c r="AB20" s="69">
        <f>Q20*Constants!$E$14</f>
        <v>0</v>
      </c>
      <c r="AC20" s="106">
        <f>R20*Constants!$E$20</f>
        <v>31.350362169590873</v>
      </c>
      <c r="AD20" s="106">
        <f t="shared" si="5"/>
        <v>1584.8954772279783</v>
      </c>
      <c r="AE20" s="114">
        <f>I20*Constants!$I$12</f>
        <v>6472.8</v>
      </c>
      <c r="AF20" s="114">
        <f>J20*Constants!$I$11</f>
        <v>6299.8697674418609</v>
      </c>
      <c r="AG20" s="71">
        <f>K20*Constants!$I$13</f>
        <v>0</v>
      </c>
      <c r="AH20" s="71">
        <f>L20*Constants!$I$14</f>
        <v>0</v>
      </c>
      <c r="AI20" s="71">
        <f>M20*Constants!$I$20</f>
        <v>250.8</v>
      </c>
      <c r="AJ20" s="114">
        <f t="shared" si="6"/>
        <v>13023.46976744186</v>
      </c>
    </row>
    <row r="21" spans="1:38">
      <c r="A21" s="58">
        <f>Rawdata!Y22</f>
        <v>35.002083333332848</v>
      </c>
      <c r="C21">
        <v>20</v>
      </c>
      <c r="D21">
        <v>233.74</v>
      </c>
      <c r="E21" s="86">
        <v>178.22</v>
      </c>
      <c r="F21">
        <v>0</v>
      </c>
      <c r="G21">
        <v>0</v>
      </c>
      <c r="H21">
        <v>100</v>
      </c>
      <c r="I21" s="64">
        <f t="shared" si="0"/>
        <v>4674.8</v>
      </c>
      <c r="J21" s="64">
        <f t="shared" si="1"/>
        <v>3564.4</v>
      </c>
      <c r="K21" s="64">
        <f t="shared" si="2"/>
        <v>0</v>
      </c>
      <c r="L21" s="65">
        <f t="shared" si="3"/>
        <v>0</v>
      </c>
      <c r="M21" s="65">
        <v>100</v>
      </c>
      <c r="N21" s="104">
        <f>I21/Constants!$C$12</f>
        <v>44.904879231925612</v>
      </c>
      <c r="O21" s="104">
        <f>J21/Constants!$C$11</f>
        <v>41.403182715762576</v>
      </c>
      <c r="P21" s="62">
        <f>K21/Constants!$C$13</f>
        <v>0</v>
      </c>
      <c r="Q21" s="62">
        <f>L21/Constants!$C$14</f>
        <v>0</v>
      </c>
      <c r="R21" s="104">
        <f>M21/Constants!$C$20</f>
        <v>0.36453909499524273</v>
      </c>
      <c r="S21" s="105">
        <f>N21*Constants!$D$12</f>
        <v>179.61951692770245</v>
      </c>
      <c r="T21" s="105">
        <f>O21*Constants!$D$11</f>
        <v>165.6127308630503</v>
      </c>
      <c r="U21" s="67">
        <f>P21*Constants!$D$13</f>
        <v>0</v>
      </c>
      <c r="V21" s="67">
        <f>Q21*Constants!$D$14</f>
        <v>0</v>
      </c>
      <c r="W21" s="105">
        <f>R21*Constants!$D$20</f>
        <v>6.9262428049096121</v>
      </c>
      <c r="X21" s="105">
        <f t="shared" si="4"/>
        <v>352.15849059566239</v>
      </c>
      <c r="Y21" s="106">
        <f>N21*Constants!$E$12</f>
        <v>808.28782617466106</v>
      </c>
      <c r="Z21" s="106">
        <f>O21*Constants!$E$11</f>
        <v>745.25728888372635</v>
      </c>
      <c r="AA21" s="69">
        <f>P21*Constants!$E$13</f>
        <v>0</v>
      </c>
      <c r="AB21" s="69">
        <f>Q21*Constants!$E$14</f>
        <v>0</v>
      </c>
      <c r="AC21" s="106">
        <f>R21*Constants!$E$20</f>
        <v>31.350362169590873</v>
      </c>
      <c r="AD21" s="106">
        <f t="shared" si="5"/>
        <v>1584.8954772279783</v>
      </c>
      <c r="AE21" s="114">
        <f>I21*Constants!$I$12</f>
        <v>6472.8</v>
      </c>
      <c r="AF21" s="114">
        <f>J21*Constants!$I$11</f>
        <v>6299.8697674418609</v>
      </c>
      <c r="AG21" s="71">
        <f>K21*Constants!$I$13</f>
        <v>0</v>
      </c>
      <c r="AH21" s="71">
        <f>L21*Constants!$I$14</f>
        <v>0</v>
      </c>
      <c r="AI21" s="71">
        <f>M21*Constants!$I$20</f>
        <v>250.8</v>
      </c>
      <c r="AJ21" s="114">
        <f t="shared" si="6"/>
        <v>13023.46976744186</v>
      </c>
    </row>
    <row r="22" spans="1:38">
      <c r="A22" s="58">
        <f>Rawdata!Y23</f>
        <v>37.01875000000291</v>
      </c>
      <c r="C22">
        <v>20</v>
      </c>
      <c r="D22">
        <v>233.74</v>
      </c>
      <c r="E22" s="86">
        <v>178.22</v>
      </c>
      <c r="F22">
        <v>0</v>
      </c>
      <c r="G22">
        <v>0</v>
      </c>
      <c r="H22">
        <v>100</v>
      </c>
      <c r="I22" s="64">
        <f t="shared" si="0"/>
        <v>4674.8</v>
      </c>
      <c r="J22" s="64">
        <f t="shared" si="1"/>
        <v>3564.4</v>
      </c>
      <c r="K22" s="64">
        <f t="shared" si="2"/>
        <v>0</v>
      </c>
      <c r="L22" s="65">
        <f t="shared" si="3"/>
        <v>0</v>
      </c>
      <c r="M22" s="65">
        <v>100</v>
      </c>
      <c r="N22" s="104">
        <f>I22/Constants!$C$12</f>
        <v>44.904879231925612</v>
      </c>
      <c r="O22" s="104">
        <f>J22/Constants!$C$11</f>
        <v>41.403182715762576</v>
      </c>
      <c r="P22" s="62">
        <f>K22/Constants!$C$13</f>
        <v>0</v>
      </c>
      <c r="Q22" s="62">
        <f>L22/Constants!$C$14</f>
        <v>0</v>
      </c>
      <c r="R22" s="104">
        <f>M22/Constants!$C$20</f>
        <v>0.36453909499524273</v>
      </c>
      <c r="S22" s="105">
        <f>N22*Constants!$D$12</f>
        <v>179.61951692770245</v>
      </c>
      <c r="T22" s="105">
        <f>O22*Constants!$D$11</f>
        <v>165.6127308630503</v>
      </c>
      <c r="U22" s="67">
        <f>P22*Constants!$D$13</f>
        <v>0</v>
      </c>
      <c r="V22" s="67">
        <f>Q22*Constants!$D$14</f>
        <v>0</v>
      </c>
      <c r="W22" s="105">
        <f>R22*Constants!$D$20</f>
        <v>6.9262428049096121</v>
      </c>
      <c r="X22" s="105">
        <f t="shared" si="4"/>
        <v>352.15849059566239</v>
      </c>
      <c r="Y22" s="106">
        <f>N22*Constants!$E$12</f>
        <v>808.28782617466106</v>
      </c>
      <c r="Z22" s="106">
        <f>O22*Constants!$E$11</f>
        <v>745.25728888372635</v>
      </c>
      <c r="AA22" s="69">
        <f>P22*Constants!$E$13</f>
        <v>0</v>
      </c>
      <c r="AB22" s="69">
        <f>Q22*Constants!$E$14</f>
        <v>0</v>
      </c>
      <c r="AC22" s="106">
        <f>R22*Constants!$E$20</f>
        <v>31.350362169590873</v>
      </c>
      <c r="AD22" s="106">
        <f t="shared" si="5"/>
        <v>1584.8954772279783</v>
      </c>
      <c r="AE22" s="114">
        <f>I22*Constants!$I$12</f>
        <v>6472.8</v>
      </c>
      <c r="AF22" s="114">
        <f>J22*Constants!$I$11</f>
        <v>6299.8697674418609</v>
      </c>
      <c r="AG22" s="71">
        <f>K22*Constants!$I$13</f>
        <v>0</v>
      </c>
      <c r="AH22" s="71">
        <f>L22*Constants!$I$14</f>
        <v>0</v>
      </c>
      <c r="AI22" s="71">
        <f>M22*Constants!$I$20</f>
        <v>250.8</v>
      </c>
      <c r="AJ22" s="114">
        <f t="shared" si="6"/>
        <v>13023.46976744186</v>
      </c>
    </row>
    <row r="23" spans="1:38">
      <c r="A23" s="58">
        <f>Rawdata!Y24</f>
        <v>40.011111111110949</v>
      </c>
      <c r="C23">
        <v>20</v>
      </c>
      <c r="D23">
        <v>233.74</v>
      </c>
      <c r="E23" s="86">
        <v>178.22</v>
      </c>
      <c r="F23">
        <v>0</v>
      </c>
      <c r="G23">
        <v>0</v>
      </c>
      <c r="H23">
        <v>100</v>
      </c>
      <c r="I23" s="64">
        <f t="shared" si="0"/>
        <v>4674.8</v>
      </c>
      <c r="J23" s="64">
        <f t="shared" si="1"/>
        <v>3564.4</v>
      </c>
      <c r="K23" s="64">
        <f t="shared" si="2"/>
        <v>0</v>
      </c>
      <c r="L23" s="65">
        <f t="shared" si="3"/>
        <v>0</v>
      </c>
      <c r="M23" s="65">
        <v>100</v>
      </c>
      <c r="N23" s="104">
        <f>I23/Constants!$C$12</f>
        <v>44.904879231925612</v>
      </c>
      <c r="O23" s="104">
        <f>J23/Constants!$C$11</f>
        <v>41.403182715762576</v>
      </c>
      <c r="P23" s="62">
        <f>K23/Constants!$C$13</f>
        <v>0</v>
      </c>
      <c r="Q23" s="62">
        <f>L23/Constants!$C$14</f>
        <v>0</v>
      </c>
      <c r="R23" s="104">
        <f>M23/Constants!$C$20</f>
        <v>0.36453909499524273</v>
      </c>
      <c r="S23" s="105">
        <f>N23*Constants!$D$12</f>
        <v>179.61951692770245</v>
      </c>
      <c r="T23" s="105">
        <f>O23*Constants!$D$11</f>
        <v>165.6127308630503</v>
      </c>
      <c r="U23" s="67">
        <f>P23*Constants!$D$13</f>
        <v>0</v>
      </c>
      <c r="V23" s="67">
        <f>Q23*Constants!$D$14</f>
        <v>0</v>
      </c>
      <c r="W23" s="105">
        <f>R23*Constants!$D$20</f>
        <v>6.9262428049096121</v>
      </c>
      <c r="X23" s="105">
        <f t="shared" si="4"/>
        <v>352.15849059566239</v>
      </c>
      <c r="Y23" s="106">
        <f>N23*Constants!$E$12</f>
        <v>808.28782617466106</v>
      </c>
      <c r="Z23" s="106">
        <f>O23*Constants!$E$11</f>
        <v>745.25728888372635</v>
      </c>
      <c r="AA23" s="69">
        <f>P23*Constants!$E$13</f>
        <v>0</v>
      </c>
      <c r="AB23" s="69">
        <f>Q23*Constants!$E$14</f>
        <v>0</v>
      </c>
      <c r="AC23" s="106">
        <f>R23*Constants!$E$20</f>
        <v>31.350362169590873</v>
      </c>
      <c r="AD23" s="106">
        <f t="shared" si="5"/>
        <v>1584.8954772279783</v>
      </c>
      <c r="AE23" s="114">
        <f>I23*Constants!$I$12</f>
        <v>6472.8</v>
      </c>
      <c r="AF23" s="114">
        <f>J23*Constants!$I$11</f>
        <v>6299.8697674418609</v>
      </c>
      <c r="AG23" s="71">
        <f>K23*Constants!$I$13</f>
        <v>0</v>
      </c>
      <c r="AH23" s="71">
        <f>L23*Constants!$I$14</f>
        <v>0</v>
      </c>
      <c r="AI23" s="71">
        <f>M23*Constants!$I$20</f>
        <v>250.8</v>
      </c>
      <c r="AJ23" s="114">
        <f t="shared" si="6"/>
        <v>13023.46976744186</v>
      </c>
    </row>
    <row r="24" spans="1:38">
      <c r="A24" s="58">
        <f>Rawdata!Y25</f>
        <v>42.029166666667152</v>
      </c>
      <c r="C24">
        <v>20</v>
      </c>
      <c r="D24">
        <v>233.74</v>
      </c>
      <c r="E24" s="86">
        <v>178.22</v>
      </c>
      <c r="F24">
        <v>0</v>
      </c>
      <c r="G24">
        <v>0</v>
      </c>
      <c r="H24">
        <v>100</v>
      </c>
      <c r="I24" s="64">
        <f t="shared" si="0"/>
        <v>4674.8</v>
      </c>
      <c r="J24" s="64">
        <f t="shared" si="1"/>
        <v>3564.4</v>
      </c>
      <c r="K24" s="64">
        <f t="shared" si="2"/>
        <v>0</v>
      </c>
      <c r="L24" s="65">
        <f t="shared" si="3"/>
        <v>0</v>
      </c>
      <c r="M24" s="65">
        <v>100</v>
      </c>
      <c r="N24" s="104">
        <f>I24/Constants!$C$12</f>
        <v>44.904879231925612</v>
      </c>
      <c r="O24" s="104">
        <f>J24/Constants!$C$11</f>
        <v>41.403182715762576</v>
      </c>
      <c r="P24" s="62">
        <f>K24/Constants!$C$13</f>
        <v>0</v>
      </c>
      <c r="Q24" s="62">
        <f>L24/Constants!$C$14</f>
        <v>0</v>
      </c>
      <c r="R24" s="104">
        <f>M24/Constants!$C$20</f>
        <v>0.36453909499524273</v>
      </c>
      <c r="S24" s="105">
        <f>N24*Constants!$D$12</f>
        <v>179.61951692770245</v>
      </c>
      <c r="T24" s="105">
        <f>O24*Constants!$D$11</f>
        <v>165.6127308630503</v>
      </c>
      <c r="U24" s="67">
        <f>P24*Constants!$D$13</f>
        <v>0</v>
      </c>
      <c r="V24" s="67">
        <f>Q24*Constants!$D$14</f>
        <v>0</v>
      </c>
      <c r="W24" s="105">
        <f>R24*Constants!$D$20</f>
        <v>6.9262428049096121</v>
      </c>
      <c r="X24" s="105">
        <f t="shared" si="4"/>
        <v>352.15849059566239</v>
      </c>
      <c r="Y24" s="106">
        <f>N24*Constants!$E$12</f>
        <v>808.28782617466106</v>
      </c>
      <c r="Z24" s="106">
        <f>O24*Constants!$E$11</f>
        <v>745.25728888372635</v>
      </c>
      <c r="AA24" s="69">
        <f>P24*Constants!$E$13</f>
        <v>0</v>
      </c>
      <c r="AB24" s="69">
        <f>Q24*Constants!$E$14</f>
        <v>0</v>
      </c>
      <c r="AC24" s="106">
        <f>R24*Constants!$E$20</f>
        <v>31.350362169590873</v>
      </c>
      <c r="AD24" s="106">
        <f t="shared" si="5"/>
        <v>1584.8954772279783</v>
      </c>
      <c r="AE24" s="114">
        <f>I24*Constants!$I$12</f>
        <v>6472.8</v>
      </c>
      <c r="AF24" s="114">
        <f>J24*Constants!$I$11</f>
        <v>6299.8697674418609</v>
      </c>
      <c r="AG24" s="71">
        <f>K24*Constants!$I$13</f>
        <v>0</v>
      </c>
      <c r="AH24" s="71">
        <f>L24*Constants!$I$14</f>
        <v>0</v>
      </c>
      <c r="AI24" s="71">
        <f>M24*Constants!$I$20</f>
        <v>250.8</v>
      </c>
      <c r="AJ24" s="114">
        <f t="shared" si="6"/>
        <v>13023.46976744186</v>
      </c>
    </row>
    <row r="25" spans="1:38">
      <c r="A25" s="58">
        <f>Rawdata!Y26</f>
        <v>44.022222222221899</v>
      </c>
      <c r="C25">
        <v>20</v>
      </c>
      <c r="D25">
        <v>233.74</v>
      </c>
      <c r="E25" s="86">
        <v>178.22</v>
      </c>
      <c r="F25">
        <v>0</v>
      </c>
      <c r="G25">
        <v>0</v>
      </c>
      <c r="H25">
        <v>100</v>
      </c>
      <c r="I25" s="64">
        <f t="shared" si="0"/>
        <v>4674.8</v>
      </c>
      <c r="J25" s="64">
        <f t="shared" si="1"/>
        <v>3564.4</v>
      </c>
      <c r="K25" s="64">
        <f t="shared" si="2"/>
        <v>0</v>
      </c>
      <c r="L25" s="65">
        <f t="shared" si="3"/>
        <v>0</v>
      </c>
      <c r="M25" s="65">
        <v>100</v>
      </c>
      <c r="N25" s="104">
        <f>I25/Constants!$C$12</f>
        <v>44.904879231925612</v>
      </c>
      <c r="O25" s="104">
        <f>J25/Constants!$C$11</f>
        <v>41.403182715762576</v>
      </c>
      <c r="P25" s="62">
        <f>K25/Constants!$C$13</f>
        <v>0</v>
      </c>
      <c r="Q25" s="62">
        <f>L25/Constants!$C$14</f>
        <v>0</v>
      </c>
      <c r="R25" s="104">
        <f>M25/Constants!$C$20</f>
        <v>0.36453909499524273</v>
      </c>
      <c r="S25" s="105">
        <f>N25*Constants!$D$12</f>
        <v>179.61951692770245</v>
      </c>
      <c r="T25" s="105">
        <f>O25*Constants!$D$11</f>
        <v>165.6127308630503</v>
      </c>
      <c r="U25" s="67">
        <f>P25*Constants!$D$13</f>
        <v>0</v>
      </c>
      <c r="V25" s="67">
        <f>Q25*Constants!$D$14</f>
        <v>0</v>
      </c>
      <c r="W25" s="105">
        <f>R25*Constants!$D$20</f>
        <v>6.9262428049096121</v>
      </c>
      <c r="X25" s="105">
        <f t="shared" si="4"/>
        <v>352.15849059566239</v>
      </c>
      <c r="Y25" s="106">
        <f>N25*Constants!$E$12</f>
        <v>808.28782617466106</v>
      </c>
      <c r="Z25" s="106">
        <f>O25*Constants!$E$11</f>
        <v>745.25728888372635</v>
      </c>
      <c r="AA25" s="69">
        <f>P25*Constants!$E$13</f>
        <v>0</v>
      </c>
      <c r="AB25" s="69">
        <f>Q25*Constants!$E$14</f>
        <v>0</v>
      </c>
      <c r="AC25" s="106">
        <f>R25*Constants!$E$20</f>
        <v>31.350362169590873</v>
      </c>
      <c r="AD25" s="106">
        <f t="shared" si="5"/>
        <v>1584.8954772279783</v>
      </c>
      <c r="AE25" s="114">
        <f>I25*Constants!$I$12</f>
        <v>6472.8</v>
      </c>
      <c r="AF25" s="114">
        <f>J25*Constants!$I$11</f>
        <v>6299.8697674418609</v>
      </c>
      <c r="AG25" s="71">
        <f>K25*Constants!$I$13</f>
        <v>0</v>
      </c>
      <c r="AH25" s="71">
        <f>L25*Constants!$I$14</f>
        <v>0</v>
      </c>
      <c r="AI25" s="71">
        <f>M25*Constants!$I$20</f>
        <v>250.8</v>
      </c>
      <c r="AJ25" s="114">
        <f t="shared" si="6"/>
        <v>13023.46976744186</v>
      </c>
    </row>
    <row r="26" spans="1:38">
      <c r="A26" s="58">
        <f>Rawdata!Y27</f>
        <v>46.997222222220444</v>
      </c>
      <c r="B26" s="121">
        <v>46.1</v>
      </c>
      <c r="C26">
        <v>20</v>
      </c>
      <c r="D26">
        <v>240.67</v>
      </c>
      <c r="E26">
        <v>249.87</v>
      </c>
      <c r="F26">
        <v>0</v>
      </c>
      <c r="G26">
        <v>0</v>
      </c>
      <c r="H26">
        <v>100</v>
      </c>
      <c r="I26" s="64">
        <f t="shared" si="0"/>
        <v>4813.3999999999996</v>
      </c>
      <c r="J26" s="64">
        <f t="shared" si="1"/>
        <v>4997.3999999999996</v>
      </c>
      <c r="K26" s="64">
        <f t="shared" si="2"/>
        <v>0</v>
      </c>
      <c r="L26" s="65">
        <f t="shared" si="3"/>
        <v>0</v>
      </c>
      <c r="M26" s="65">
        <v>100</v>
      </c>
      <c r="N26" s="104">
        <f>I26/Constants!$C$12</f>
        <v>46.236233784322479</v>
      </c>
      <c r="O26" s="104">
        <f>J26/Constants!$C$11</f>
        <v>58.048553839005685</v>
      </c>
      <c r="P26" s="62">
        <f>K26/Constants!$C$13</f>
        <v>0</v>
      </c>
      <c r="Q26" s="62">
        <f>L26/Constants!$C$14</f>
        <v>0</v>
      </c>
      <c r="R26" s="104">
        <f>M26/Constants!$C$20</f>
        <v>0.36453909499524273</v>
      </c>
      <c r="S26" s="105">
        <f>N26*Constants!$D$12</f>
        <v>184.94493513728992</v>
      </c>
      <c r="T26" s="105">
        <f>O26*Constants!$D$11</f>
        <v>232.19421535602274</v>
      </c>
      <c r="U26" s="67">
        <f>P26*Constants!$D$13</f>
        <v>0</v>
      </c>
      <c r="V26" s="67">
        <f>Q26*Constants!$D$14</f>
        <v>0</v>
      </c>
      <c r="W26" s="105">
        <f>R26*Constants!$D$20</f>
        <v>6.9262428049096121</v>
      </c>
      <c r="X26" s="105">
        <f t="shared" si="4"/>
        <v>424.06539329822226</v>
      </c>
      <c r="Y26" s="106">
        <f>N26*Constants!$E$12</f>
        <v>832.25220811780468</v>
      </c>
      <c r="Z26" s="106">
        <f>O26*Constants!$E$11</f>
        <v>1044.8739691021024</v>
      </c>
      <c r="AA26" s="69">
        <f>P26*Constants!$E$13</f>
        <v>0</v>
      </c>
      <c r="AB26" s="69">
        <f>Q26*Constants!$E$14</f>
        <v>0</v>
      </c>
      <c r="AC26" s="106">
        <f>R26*Constants!$E$20</f>
        <v>31.350362169590873</v>
      </c>
      <c r="AD26" s="106">
        <f t="shared" si="5"/>
        <v>1908.4765393894979</v>
      </c>
      <c r="AE26" s="114">
        <f>I26*Constants!$I$12</f>
        <v>6664.707692307692</v>
      </c>
      <c r="AF26" s="114">
        <f>J26*Constants!$I$11</f>
        <v>8832.6139534883714</v>
      </c>
      <c r="AG26" s="71">
        <f>K26*Constants!$I$13</f>
        <v>0</v>
      </c>
      <c r="AH26" s="71">
        <f>L26*Constants!$I$14</f>
        <v>0</v>
      </c>
      <c r="AI26" s="71">
        <f>M26*Constants!$I$20</f>
        <v>250.8</v>
      </c>
      <c r="AJ26" s="114">
        <f t="shared" si="6"/>
        <v>15748.121645796062</v>
      </c>
      <c r="AL26" s="58">
        <v>18555</v>
      </c>
    </row>
    <row r="27" spans="1:38">
      <c r="A27" s="58">
        <f>Rawdata!Y28</f>
        <v>48.994444444448163</v>
      </c>
      <c r="C27">
        <v>20</v>
      </c>
      <c r="D27">
        <v>240.67</v>
      </c>
      <c r="E27">
        <v>249.87</v>
      </c>
      <c r="F27">
        <v>0</v>
      </c>
      <c r="G27">
        <v>0</v>
      </c>
      <c r="H27">
        <v>100</v>
      </c>
      <c r="I27" s="64">
        <f t="shared" si="0"/>
        <v>4813.3999999999996</v>
      </c>
      <c r="J27" s="64">
        <f t="shared" si="1"/>
        <v>4997.3999999999996</v>
      </c>
      <c r="K27" s="64">
        <f t="shared" si="2"/>
        <v>0</v>
      </c>
      <c r="L27" s="65">
        <f t="shared" si="3"/>
        <v>0</v>
      </c>
      <c r="M27" s="65">
        <v>100</v>
      </c>
      <c r="N27" s="104">
        <f>I27/Constants!$C$12</f>
        <v>46.236233784322479</v>
      </c>
      <c r="O27" s="104">
        <f>J27/Constants!$C$11</f>
        <v>58.048553839005685</v>
      </c>
      <c r="P27" s="62">
        <f>K27/Constants!$C$13</f>
        <v>0</v>
      </c>
      <c r="Q27" s="62">
        <f>L27/Constants!$C$14</f>
        <v>0</v>
      </c>
      <c r="R27" s="104">
        <f>M27/Constants!$C$20</f>
        <v>0.36453909499524273</v>
      </c>
      <c r="S27" s="105">
        <f>N27*Constants!$D$12</f>
        <v>184.94493513728992</v>
      </c>
      <c r="T27" s="105">
        <f>O27*Constants!$D$11</f>
        <v>232.19421535602274</v>
      </c>
      <c r="U27" s="67">
        <f>P27*Constants!$D$13</f>
        <v>0</v>
      </c>
      <c r="V27" s="67">
        <f>Q27*Constants!$D$14</f>
        <v>0</v>
      </c>
      <c r="W27" s="105">
        <f>R27*Constants!$D$20</f>
        <v>6.9262428049096121</v>
      </c>
      <c r="X27" s="105">
        <f t="shared" si="4"/>
        <v>424.06539329822226</v>
      </c>
      <c r="Y27" s="106">
        <f>N27*Constants!$E$12</f>
        <v>832.25220811780468</v>
      </c>
      <c r="Z27" s="106">
        <f>O27*Constants!$E$11</f>
        <v>1044.8739691021024</v>
      </c>
      <c r="AA27" s="69">
        <f>P27*Constants!$E$13</f>
        <v>0</v>
      </c>
      <c r="AB27" s="69">
        <f>Q27*Constants!$E$14</f>
        <v>0</v>
      </c>
      <c r="AC27" s="106">
        <f>R27*Constants!$E$20</f>
        <v>31.350362169590873</v>
      </c>
      <c r="AD27" s="106">
        <f t="shared" si="5"/>
        <v>1908.4765393894979</v>
      </c>
      <c r="AE27" s="114">
        <f>I27*Constants!$I$12</f>
        <v>6664.707692307692</v>
      </c>
      <c r="AF27" s="114">
        <f>J27*Constants!$I$11</f>
        <v>8832.6139534883714</v>
      </c>
      <c r="AG27" s="71">
        <f>K27*Constants!$I$13</f>
        <v>0</v>
      </c>
      <c r="AH27" s="71">
        <f>L27*Constants!$I$14</f>
        <v>0</v>
      </c>
      <c r="AI27" s="71">
        <f>M27*Constants!$I$20</f>
        <v>250.8</v>
      </c>
      <c r="AJ27" s="114">
        <f t="shared" si="6"/>
        <v>15748.121645796062</v>
      </c>
    </row>
    <row r="28" spans="1:38">
      <c r="A28" s="58">
        <f>Rawdata!Y29</f>
        <v>50.971527777779556</v>
      </c>
      <c r="C28">
        <v>20</v>
      </c>
      <c r="D28">
        <v>240.67</v>
      </c>
      <c r="E28">
        <v>249.87</v>
      </c>
      <c r="F28">
        <v>0</v>
      </c>
      <c r="G28">
        <v>0</v>
      </c>
      <c r="H28">
        <v>100</v>
      </c>
      <c r="I28" s="64">
        <f t="shared" si="0"/>
        <v>4813.3999999999996</v>
      </c>
      <c r="J28" s="64">
        <f t="shared" si="1"/>
        <v>4997.3999999999996</v>
      </c>
      <c r="K28" s="64">
        <f t="shared" si="2"/>
        <v>0</v>
      </c>
      <c r="L28" s="65">
        <f t="shared" si="3"/>
        <v>0</v>
      </c>
      <c r="M28" s="65">
        <v>100</v>
      </c>
      <c r="N28" s="104">
        <f>I28/Constants!$C$12</f>
        <v>46.236233784322479</v>
      </c>
      <c r="O28" s="104">
        <f>J28/Constants!$C$11</f>
        <v>58.048553839005685</v>
      </c>
      <c r="P28" s="62">
        <f>K28/Constants!$C$13</f>
        <v>0</v>
      </c>
      <c r="Q28" s="62">
        <f>L28/Constants!$C$14</f>
        <v>0</v>
      </c>
      <c r="R28" s="104">
        <f>M28/Constants!$C$20</f>
        <v>0.36453909499524273</v>
      </c>
      <c r="S28" s="105">
        <f>N28*Constants!$D$12</f>
        <v>184.94493513728992</v>
      </c>
      <c r="T28" s="105">
        <f>O28*Constants!$D$11</f>
        <v>232.19421535602274</v>
      </c>
      <c r="U28" s="67">
        <f>P28*Constants!$D$13</f>
        <v>0</v>
      </c>
      <c r="V28" s="67">
        <f>Q28*Constants!$D$14</f>
        <v>0</v>
      </c>
      <c r="W28" s="105">
        <f>R28*Constants!$D$20</f>
        <v>6.9262428049096121</v>
      </c>
      <c r="X28" s="105">
        <f t="shared" si="4"/>
        <v>424.06539329822226</v>
      </c>
      <c r="Y28" s="106">
        <f>N28*Constants!$E$12</f>
        <v>832.25220811780468</v>
      </c>
      <c r="Z28" s="106">
        <f>O28*Constants!$E$11</f>
        <v>1044.8739691021024</v>
      </c>
      <c r="AA28" s="69">
        <f>P28*Constants!$E$13</f>
        <v>0</v>
      </c>
      <c r="AB28" s="69">
        <f>Q28*Constants!$E$14</f>
        <v>0</v>
      </c>
      <c r="AC28" s="106">
        <f>R28*Constants!$E$20</f>
        <v>31.350362169590873</v>
      </c>
      <c r="AD28" s="106">
        <f t="shared" si="5"/>
        <v>1908.4765393894979</v>
      </c>
      <c r="AE28" s="114">
        <f>I28*Constants!$I$12</f>
        <v>6664.707692307692</v>
      </c>
      <c r="AF28" s="114">
        <f>J28*Constants!$I$11</f>
        <v>8832.6139534883714</v>
      </c>
      <c r="AG28" s="71">
        <f>K28*Constants!$I$13</f>
        <v>0</v>
      </c>
      <c r="AH28" s="71">
        <f>L28*Constants!$I$14</f>
        <v>0</v>
      </c>
      <c r="AI28" s="71">
        <f>M28*Constants!$I$20</f>
        <v>250.8</v>
      </c>
      <c r="AJ28" s="114">
        <f t="shared" si="6"/>
        <v>15748.121645796062</v>
      </c>
    </row>
    <row r="29" spans="1:38">
      <c r="A29" s="129">
        <f>Rawdata!Y30</f>
        <v>53.979166666664241</v>
      </c>
      <c r="C29">
        <v>20</v>
      </c>
      <c r="D29">
        <v>240.67</v>
      </c>
      <c r="E29">
        <v>249.87</v>
      </c>
      <c r="F29">
        <v>0</v>
      </c>
      <c r="G29">
        <v>0</v>
      </c>
      <c r="H29">
        <v>100</v>
      </c>
      <c r="I29" s="64">
        <f t="shared" si="0"/>
        <v>4813.3999999999996</v>
      </c>
      <c r="J29" s="64">
        <f t="shared" si="1"/>
        <v>4997.3999999999996</v>
      </c>
      <c r="K29" s="64">
        <f t="shared" si="2"/>
        <v>0</v>
      </c>
      <c r="L29" s="65">
        <f t="shared" si="3"/>
        <v>0</v>
      </c>
      <c r="M29" s="65">
        <v>100</v>
      </c>
      <c r="N29" s="104">
        <f>I29/Constants!$C$12</f>
        <v>46.236233784322479</v>
      </c>
      <c r="O29" s="104">
        <f>J29/Constants!$C$11</f>
        <v>58.048553839005685</v>
      </c>
      <c r="P29" s="62">
        <f>K29/Constants!$C$13</f>
        <v>0</v>
      </c>
      <c r="Q29" s="62">
        <f>L29/Constants!$C$14</f>
        <v>0</v>
      </c>
      <c r="R29" s="104">
        <f>M29/Constants!$C$20</f>
        <v>0.36453909499524273</v>
      </c>
      <c r="S29" s="105">
        <f>N29*Constants!$D$12</f>
        <v>184.94493513728992</v>
      </c>
      <c r="T29" s="105">
        <f>O29*Constants!$D$11</f>
        <v>232.19421535602274</v>
      </c>
      <c r="U29" s="67">
        <f>P29*Constants!$D$13</f>
        <v>0</v>
      </c>
      <c r="V29" s="67">
        <f>Q29*Constants!$D$14</f>
        <v>0</v>
      </c>
      <c r="W29" s="105">
        <f>R29*Constants!$D$20</f>
        <v>6.9262428049096121</v>
      </c>
      <c r="X29" s="105">
        <f t="shared" si="4"/>
        <v>424.06539329822226</v>
      </c>
      <c r="Y29" s="106">
        <f>N29*Constants!$E$12</f>
        <v>832.25220811780468</v>
      </c>
      <c r="Z29" s="106">
        <f>O29*Constants!$E$11</f>
        <v>1044.8739691021024</v>
      </c>
      <c r="AA29" s="69">
        <f>P29*Constants!$E$13</f>
        <v>0</v>
      </c>
      <c r="AB29" s="69">
        <f>Q29*Constants!$E$14</f>
        <v>0</v>
      </c>
      <c r="AC29" s="106">
        <f>R29*Constants!$E$20</f>
        <v>31.350362169590873</v>
      </c>
      <c r="AD29" s="106">
        <f t="shared" si="5"/>
        <v>1908.4765393894979</v>
      </c>
      <c r="AE29" s="114">
        <f>I29*Constants!$I$12</f>
        <v>6664.707692307692</v>
      </c>
      <c r="AF29" s="114">
        <f>J29*Constants!$I$11</f>
        <v>8832.6139534883714</v>
      </c>
      <c r="AG29" s="71">
        <f>K29*Constants!$I$13</f>
        <v>0</v>
      </c>
      <c r="AH29" s="71">
        <f>L29*Constants!$I$14</f>
        <v>0</v>
      </c>
      <c r="AI29" s="71">
        <f>M29*Constants!$I$20</f>
        <v>250.8</v>
      </c>
      <c r="AJ29" s="114">
        <f t="shared" si="6"/>
        <v>15748.121645796062</v>
      </c>
    </row>
    <row r="30" spans="1:38">
      <c r="A30" s="129">
        <f>Rawdata!Y32</f>
        <v>56.019444444442343</v>
      </c>
      <c r="B30" s="121">
        <v>54.23</v>
      </c>
      <c r="C30">
        <v>20</v>
      </c>
      <c r="D30">
        <v>224.51</v>
      </c>
      <c r="E30">
        <v>236.04</v>
      </c>
      <c r="F30">
        <v>184.35</v>
      </c>
      <c r="G30">
        <v>0</v>
      </c>
      <c r="H30">
        <v>100</v>
      </c>
      <c r="I30" s="64">
        <f t="shared" si="0"/>
        <v>4490.2</v>
      </c>
      <c r="J30" s="64">
        <f t="shared" si="1"/>
        <v>4720.8</v>
      </c>
      <c r="K30" s="64">
        <f t="shared" si="2"/>
        <v>3687</v>
      </c>
      <c r="L30" s="65">
        <f t="shared" si="3"/>
        <v>0</v>
      </c>
      <c r="M30" s="65">
        <v>100</v>
      </c>
      <c r="N30" s="104">
        <f>I30/Constants!$C$12</f>
        <v>43.131660975270037</v>
      </c>
      <c r="O30" s="104">
        <f>J30/Constants!$C$11</f>
        <v>54.83563712394006</v>
      </c>
      <c r="P30" s="104">
        <f>K30/Constants!$C$13</f>
        <v>40.930284191829486</v>
      </c>
      <c r="Q30" s="62">
        <f>L30/Constants!$C$14</f>
        <v>0</v>
      </c>
      <c r="R30" s="104">
        <f>M30/Constants!$C$20</f>
        <v>0.36453909499524273</v>
      </c>
      <c r="S30" s="105">
        <f>N30*Constants!$D$12</f>
        <v>172.52664390108015</v>
      </c>
      <c r="T30" s="105">
        <f>O30*Constants!$D$11</f>
        <v>219.34254849576024</v>
      </c>
      <c r="U30" s="105">
        <f>P30*Constants!$D$13</f>
        <v>122.79085257548846</v>
      </c>
      <c r="V30" s="67">
        <f>Q30*Constants!$D$14</f>
        <v>0</v>
      </c>
      <c r="W30" s="105">
        <f>R30*Constants!$D$20</f>
        <v>6.9262428049096121</v>
      </c>
      <c r="X30" s="105">
        <f t="shared" si="4"/>
        <v>521.58628777723845</v>
      </c>
      <c r="Y30" s="106">
        <f>N30*Constants!$E$12</f>
        <v>776.3698975548607</v>
      </c>
      <c r="Z30" s="106">
        <f>O30*Constants!$E$11</f>
        <v>987.04146823092105</v>
      </c>
      <c r="AA30" s="106">
        <f>P30*Constants!$E$13</f>
        <v>491.16341030195383</v>
      </c>
      <c r="AB30" s="69">
        <f>Q30*Constants!$E$14</f>
        <v>0</v>
      </c>
      <c r="AC30" s="106">
        <f>R30*Constants!$E$20</f>
        <v>31.350362169590873</v>
      </c>
      <c r="AD30" s="106">
        <f t="shared" si="5"/>
        <v>2285.9251382573266</v>
      </c>
      <c r="AE30" s="114">
        <f>I30*Constants!$I$12</f>
        <v>6217.2</v>
      </c>
      <c r="AF30" s="114">
        <f>J30*Constants!$I$11</f>
        <v>8343.7395348837217</v>
      </c>
      <c r="AG30" s="114">
        <f>K30*Constants!$I$13</f>
        <v>3932.7999999999997</v>
      </c>
      <c r="AH30" s="71">
        <f>L30*Constants!$I$14</f>
        <v>0</v>
      </c>
      <c r="AI30" s="71">
        <f>M30*Constants!$I$20</f>
        <v>250.8</v>
      </c>
      <c r="AJ30" s="114">
        <f t="shared" si="6"/>
        <v>18744.539534883719</v>
      </c>
      <c r="AL30" s="58">
        <v>22527.5</v>
      </c>
    </row>
    <row r="31" spans="1:38">
      <c r="A31" s="58">
        <f>Rawdata!Y33</f>
        <v>57.995833333334303</v>
      </c>
      <c r="C31">
        <v>20</v>
      </c>
      <c r="D31">
        <v>224.51</v>
      </c>
      <c r="E31">
        <v>236.04</v>
      </c>
      <c r="F31">
        <v>184.35</v>
      </c>
      <c r="G31">
        <v>0</v>
      </c>
      <c r="H31">
        <v>100</v>
      </c>
      <c r="I31" s="64">
        <f t="shared" si="0"/>
        <v>4490.2</v>
      </c>
      <c r="J31" s="64">
        <f t="shared" si="1"/>
        <v>4720.8</v>
      </c>
      <c r="K31" s="64">
        <f t="shared" si="2"/>
        <v>3687</v>
      </c>
      <c r="L31" s="65">
        <f t="shared" si="3"/>
        <v>0</v>
      </c>
      <c r="M31" s="65">
        <v>100</v>
      </c>
      <c r="N31" s="104">
        <f>I31/Constants!$C$12</f>
        <v>43.131660975270037</v>
      </c>
      <c r="O31" s="104">
        <f>J31/Constants!$C$11</f>
        <v>54.83563712394006</v>
      </c>
      <c r="P31" s="104">
        <f>K31/Constants!$C$13</f>
        <v>40.930284191829486</v>
      </c>
      <c r="Q31" s="62">
        <f>L31/Constants!$C$14</f>
        <v>0</v>
      </c>
      <c r="R31" s="104">
        <f>M31/Constants!$C$20</f>
        <v>0.36453909499524273</v>
      </c>
      <c r="S31" s="105">
        <f>N31*Constants!$D$12</f>
        <v>172.52664390108015</v>
      </c>
      <c r="T31" s="105">
        <f>O31*Constants!$D$11</f>
        <v>219.34254849576024</v>
      </c>
      <c r="U31" s="105">
        <f>P31*Constants!$D$13</f>
        <v>122.79085257548846</v>
      </c>
      <c r="V31" s="67">
        <f>Q31*Constants!$D$14</f>
        <v>0</v>
      </c>
      <c r="W31" s="105">
        <f>R31*Constants!$D$20</f>
        <v>6.9262428049096121</v>
      </c>
      <c r="X31" s="105">
        <f t="shared" si="4"/>
        <v>521.58628777723845</v>
      </c>
      <c r="Y31" s="106">
        <f>N31*Constants!$E$12</f>
        <v>776.3698975548607</v>
      </c>
      <c r="Z31" s="106">
        <f>O31*Constants!$E$11</f>
        <v>987.04146823092105</v>
      </c>
      <c r="AA31" s="106">
        <f>P31*Constants!$E$13</f>
        <v>491.16341030195383</v>
      </c>
      <c r="AB31" s="69">
        <f>Q31*Constants!$E$14</f>
        <v>0</v>
      </c>
      <c r="AC31" s="106">
        <f>R31*Constants!$E$20</f>
        <v>31.350362169590873</v>
      </c>
      <c r="AD31" s="106">
        <f t="shared" si="5"/>
        <v>2285.9251382573266</v>
      </c>
      <c r="AE31" s="114">
        <f>I31*Constants!$I$12</f>
        <v>6217.2</v>
      </c>
      <c r="AF31" s="114">
        <f>J31*Constants!$I$11</f>
        <v>8343.7395348837217</v>
      </c>
      <c r="AG31" s="114">
        <f>K31*Constants!$I$13</f>
        <v>3932.7999999999997</v>
      </c>
      <c r="AH31" s="71">
        <f>L31*Constants!$I$14</f>
        <v>0</v>
      </c>
      <c r="AI31" s="71">
        <f>M31*Constants!$I$20</f>
        <v>250.8</v>
      </c>
      <c r="AJ31" s="114">
        <f t="shared" si="6"/>
        <v>18744.539534883719</v>
      </c>
    </row>
    <row r="32" spans="1:38">
      <c r="A32" s="58">
        <f>Rawdata!Y34</f>
        <v>61.00138888888614</v>
      </c>
      <c r="B32" s="121">
        <v>62.1</v>
      </c>
      <c r="C32">
        <v>20</v>
      </c>
      <c r="D32">
        <v>235.16</v>
      </c>
      <c r="E32">
        <v>249.57</v>
      </c>
      <c r="F32">
        <v>192.62</v>
      </c>
      <c r="G32">
        <v>0</v>
      </c>
      <c r="H32">
        <v>100</v>
      </c>
      <c r="I32" s="64">
        <f t="shared" si="0"/>
        <v>4703.2</v>
      </c>
      <c r="J32" s="64">
        <f t="shared" si="1"/>
        <v>4991.3999999999996</v>
      </c>
      <c r="K32" s="64">
        <f t="shared" si="2"/>
        <v>3852.4</v>
      </c>
      <c r="L32" s="65">
        <f t="shared" si="3"/>
        <v>0</v>
      </c>
      <c r="M32" s="65">
        <v>100</v>
      </c>
      <c r="N32" s="104">
        <f>I32/Constants!$C$12</f>
        <v>45.177682040641855</v>
      </c>
      <c r="O32" s="104">
        <f>J32/Constants!$C$11</f>
        <v>57.97885933325589</v>
      </c>
      <c r="P32" s="104">
        <f>K32/Constants!$C$13</f>
        <v>42.766429840142095</v>
      </c>
      <c r="Q32" s="62">
        <f>L32/Constants!$C$14</f>
        <v>0</v>
      </c>
      <c r="R32" s="104">
        <f>M32/Constants!$C$20</f>
        <v>0.36453909499524273</v>
      </c>
      <c r="S32" s="105">
        <f>N32*Constants!$D$12</f>
        <v>180.71072816256742</v>
      </c>
      <c r="T32" s="105">
        <f>O32*Constants!$D$11</f>
        <v>231.91543733302356</v>
      </c>
      <c r="U32" s="105">
        <f>P32*Constants!$D$13</f>
        <v>128.29928952042627</v>
      </c>
      <c r="V32" s="67">
        <f>Q32*Constants!$D$14</f>
        <v>0</v>
      </c>
      <c r="W32" s="105">
        <f>R32*Constants!$D$20</f>
        <v>6.9262428049096121</v>
      </c>
      <c r="X32" s="105">
        <f t="shared" si="4"/>
        <v>547.8516978209268</v>
      </c>
      <c r="Y32" s="106">
        <f>N32*Constants!$E$12</f>
        <v>813.19827673155339</v>
      </c>
      <c r="Z32" s="106">
        <f>O32*Constants!$E$11</f>
        <v>1043.6194679986061</v>
      </c>
      <c r="AA32" s="106">
        <f>P32*Constants!$E$13</f>
        <v>513.19715808170508</v>
      </c>
      <c r="AB32" s="69">
        <f>Q32*Constants!$E$14</f>
        <v>0</v>
      </c>
      <c r="AC32" s="106">
        <f>R32*Constants!$E$20</f>
        <v>31.350362169590873</v>
      </c>
      <c r="AD32" s="106">
        <f t="shared" si="5"/>
        <v>2401.3652649814558</v>
      </c>
      <c r="AE32" s="114">
        <f>I32*Constants!$I$12</f>
        <v>6512.123076923077</v>
      </c>
      <c r="AF32" s="114">
        <f>J32*Constants!$I$11</f>
        <v>8822.0093023255813</v>
      </c>
      <c r="AG32" s="114">
        <f>K32*Constants!$I$13</f>
        <v>4109.2266666666665</v>
      </c>
      <c r="AH32" s="71">
        <f>L32*Constants!$I$14</f>
        <v>0</v>
      </c>
      <c r="AI32" s="71">
        <f>M32*Constants!$I$20</f>
        <v>250.8</v>
      </c>
      <c r="AJ32" s="114">
        <f t="shared" si="6"/>
        <v>19694.159045915323</v>
      </c>
      <c r="AL32" s="58">
        <v>22502.5</v>
      </c>
    </row>
    <row r="33" spans="1:38">
      <c r="A33" s="58">
        <f>Rawdata!Y35</f>
        <v>62.996527777781012</v>
      </c>
      <c r="C33">
        <v>20</v>
      </c>
      <c r="D33">
        <v>235.16</v>
      </c>
      <c r="E33">
        <v>249.57</v>
      </c>
      <c r="F33">
        <v>192.62</v>
      </c>
      <c r="G33">
        <v>0</v>
      </c>
      <c r="H33">
        <v>100</v>
      </c>
      <c r="I33" s="64">
        <f t="shared" si="0"/>
        <v>4703.2</v>
      </c>
      <c r="J33" s="64">
        <f t="shared" si="1"/>
        <v>4991.3999999999996</v>
      </c>
      <c r="K33" s="64">
        <f t="shared" si="2"/>
        <v>3852.4</v>
      </c>
      <c r="L33" s="65">
        <f t="shared" si="3"/>
        <v>0</v>
      </c>
      <c r="M33" s="65">
        <v>100</v>
      </c>
      <c r="N33" s="104">
        <f>I33/Constants!$C$12</f>
        <v>45.177682040641855</v>
      </c>
      <c r="O33" s="104">
        <f>J33/Constants!$C$11</f>
        <v>57.97885933325589</v>
      </c>
      <c r="P33" s="104">
        <f>K33/Constants!$C$13</f>
        <v>42.766429840142095</v>
      </c>
      <c r="Q33" s="62">
        <f>L33/Constants!$C$14</f>
        <v>0</v>
      </c>
      <c r="R33" s="104">
        <f>M33/Constants!$C$20</f>
        <v>0.36453909499524273</v>
      </c>
      <c r="S33" s="105">
        <f>N33*Constants!$D$12</f>
        <v>180.71072816256742</v>
      </c>
      <c r="T33" s="105">
        <f>O33*Constants!$D$11</f>
        <v>231.91543733302356</v>
      </c>
      <c r="U33" s="105">
        <f>P33*Constants!$D$13</f>
        <v>128.29928952042627</v>
      </c>
      <c r="V33" s="67">
        <f>Q33*Constants!$D$14</f>
        <v>0</v>
      </c>
      <c r="W33" s="105">
        <f>R33*Constants!$D$20</f>
        <v>6.9262428049096121</v>
      </c>
      <c r="X33" s="105">
        <f t="shared" si="4"/>
        <v>547.8516978209268</v>
      </c>
      <c r="Y33" s="106">
        <f>N33*Constants!$E$12</f>
        <v>813.19827673155339</v>
      </c>
      <c r="Z33" s="106">
        <f>O33*Constants!$E$11</f>
        <v>1043.6194679986061</v>
      </c>
      <c r="AA33" s="106">
        <f>P33*Constants!$E$13</f>
        <v>513.19715808170508</v>
      </c>
      <c r="AB33" s="69">
        <f>Q33*Constants!$E$14</f>
        <v>0</v>
      </c>
      <c r="AC33" s="106">
        <f>R33*Constants!$E$20</f>
        <v>31.350362169590873</v>
      </c>
      <c r="AD33" s="106">
        <f t="shared" si="5"/>
        <v>2401.3652649814558</v>
      </c>
      <c r="AE33" s="114">
        <f>I33*Constants!$I$12</f>
        <v>6512.123076923077</v>
      </c>
      <c r="AF33" s="114">
        <f>J33*Constants!$I$11</f>
        <v>8822.0093023255813</v>
      </c>
      <c r="AG33" s="114">
        <f>K33*Constants!$I$13</f>
        <v>4109.2266666666665</v>
      </c>
      <c r="AH33" s="71">
        <f>L33*Constants!$I$14</f>
        <v>0</v>
      </c>
      <c r="AI33" s="71">
        <f>M33*Constants!$I$20</f>
        <v>250.8</v>
      </c>
      <c r="AJ33" s="114">
        <f t="shared" si="6"/>
        <v>19694.159045915323</v>
      </c>
    </row>
    <row r="34" spans="1:38">
      <c r="A34" s="58">
        <f>Rawdata!Y36</f>
        <v>65.071527777778101</v>
      </c>
      <c r="C34">
        <v>20</v>
      </c>
      <c r="D34">
        <v>235.16</v>
      </c>
      <c r="E34">
        <v>249.57</v>
      </c>
      <c r="F34">
        <v>192.62</v>
      </c>
      <c r="G34">
        <v>0</v>
      </c>
      <c r="H34">
        <v>100</v>
      </c>
      <c r="I34" s="64">
        <f t="shared" si="0"/>
        <v>4703.2</v>
      </c>
      <c r="J34" s="64">
        <f t="shared" si="1"/>
        <v>4991.3999999999996</v>
      </c>
      <c r="K34" s="64">
        <f t="shared" si="2"/>
        <v>3852.4</v>
      </c>
      <c r="L34" s="65">
        <f t="shared" si="3"/>
        <v>0</v>
      </c>
      <c r="M34" s="65">
        <v>100</v>
      </c>
      <c r="N34" s="104">
        <f>I34/Constants!$C$12</f>
        <v>45.177682040641855</v>
      </c>
      <c r="O34" s="104">
        <f>J34/Constants!$C$11</f>
        <v>57.97885933325589</v>
      </c>
      <c r="P34" s="104">
        <f>K34/Constants!$C$13</f>
        <v>42.766429840142095</v>
      </c>
      <c r="Q34" s="62">
        <f>L34/Constants!$C$14</f>
        <v>0</v>
      </c>
      <c r="R34" s="104">
        <f>M34/Constants!$C$20</f>
        <v>0.36453909499524273</v>
      </c>
      <c r="S34" s="105">
        <f>N34*Constants!$D$12</f>
        <v>180.71072816256742</v>
      </c>
      <c r="T34" s="105">
        <f>O34*Constants!$D$11</f>
        <v>231.91543733302356</v>
      </c>
      <c r="U34" s="105">
        <f>P34*Constants!$D$13</f>
        <v>128.29928952042627</v>
      </c>
      <c r="V34" s="67">
        <f>Q34*Constants!$D$14</f>
        <v>0</v>
      </c>
      <c r="W34" s="105">
        <f>R34*Constants!$D$20</f>
        <v>6.9262428049096121</v>
      </c>
      <c r="X34" s="105">
        <f t="shared" si="4"/>
        <v>547.8516978209268</v>
      </c>
      <c r="Y34" s="106">
        <f>N34*Constants!$E$12</f>
        <v>813.19827673155339</v>
      </c>
      <c r="Z34" s="106">
        <f>O34*Constants!$E$11</f>
        <v>1043.6194679986061</v>
      </c>
      <c r="AA34" s="106">
        <f>P34*Constants!$E$13</f>
        <v>513.19715808170508</v>
      </c>
      <c r="AB34" s="69">
        <f>Q34*Constants!$E$14</f>
        <v>0</v>
      </c>
      <c r="AC34" s="106">
        <f>R34*Constants!$E$20</f>
        <v>31.350362169590873</v>
      </c>
      <c r="AD34" s="106">
        <f t="shared" si="5"/>
        <v>2401.3652649814558</v>
      </c>
      <c r="AE34" s="114">
        <f>I34*Constants!$I$12</f>
        <v>6512.123076923077</v>
      </c>
      <c r="AF34" s="114">
        <f>J34*Constants!$I$11</f>
        <v>8822.0093023255813</v>
      </c>
      <c r="AG34" s="114">
        <f>K34*Constants!$I$13</f>
        <v>4109.2266666666665</v>
      </c>
      <c r="AH34" s="71">
        <f>L34*Constants!$I$14</f>
        <v>0</v>
      </c>
      <c r="AI34" s="71">
        <f>M34*Constants!$I$20</f>
        <v>250.8</v>
      </c>
      <c r="AJ34" s="114">
        <f t="shared" si="6"/>
        <v>19694.159045915323</v>
      </c>
    </row>
    <row r="35" spans="1:38">
      <c r="A35" s="58">
        <f>Rawdata!Y37</f>
        <v>67.984722222223354</v>
      </c>
      <c r="B35" s="121">
        <v>67.98</v>
      </c>
      <c r="C35">
        <v>20</v>
      </c>
      <c r="D35">
        <v>247.11</v>
      </c>
      <c r="E35">
        <v>240.83</v>
      </c>
      <c r="F35">
        <v>196.72</v>
      </c>
      <c r="G35">
        <v>0</v>
      </c>
      <c r="H35">
        <v>100</v>
      </c>
      <c r="I35" s="64">
        <f t="shared" si="0"/>
        <v>4942.2000000000007</v>
      </c>
      <c r="J35" s="64">
        <f t="shared" si="1"/>
        <v>4816.6000000000004</v>
      </c>
      <c r="K35" s="64">
        <f t="shared" si="2"/>
        <v>3934.4</v>
      </c>
      <c r="L35" s="65">
        <f t="shared" si="3"/>
        <v>0</v>
      </c>
      <c r="M35" s="65">
        <v>100</v>
      </c>
      <c r="N35" s="104">
        <f>I35/Constants!$C$12</f>
        <v>47.473452156246857</v>
      </c>
      <c r="O35" s="104">
        <f>J35/Constants!$C$11</f>
        <v>55.948426065745153</v>
      </c>
      <c r="P35" s="104">
        <f>K35/Constants!$C$13</f>
        <v>43.676731793960926</v>
      </c>
      <c r="Q35" s="62">
        <f>L35/Constants!$C$14</f>
        <v>0</v>
      </c>
      <c r="R35" s="104">
        <f>M35/Constants!$C$20</f>
        <v>0.36453909499524273</v>
      </c>
      <c r="S35" s="105">
        <f>N35*Constants!$D$12</f>
        <v>189.89380862498743</v>
      </c>
      <c r="T35" s="105">
        <f>O35*Constants!$D$11</f>
        <v>223.79370426298061</v>
      </c>
      <c r="U35" s="105">
        <f>P35*Constants!$D$13</f>
        <v>131.03019538188278</v>
      </c>
      <c r="V35" s="67">
        <f>Q35*Constants!$D$14</f>
        <v>0</v>
      </c>
      <c r="W35" s="105">
        <f>R35*Constants!$D$20</f>
        <v>6.9262428049096121</v>
      </c>
      <c r="X35" s="105">
        <f t="shared" si="4"/>
        <v>551.64395107476048</v>
      </c>
      <c r="Y35" s="106">
        <f>N35*Constants!$E$12</f>
        <v>854.52213881244347</v>
      </c>
      <c r="Z35" s="106">
        <f>O35*Constants!$E$11</f>
        <v>1007.0716691834127</v>
      </c>
      <c r="AA35" s="106">
        <f>P35*Constants!$E$13</f>
        <v>524.12078152753111</v>
      </c>
      <c r="AB35" s="69">
        <f>Q35*Constants!$E$14</f>
        <v>0</v>
      </c>
      <c r="AC35" s="106">
        <f>R35*Constants!$E$20</f>
        <v>31.350362169590873</v>
      </c>
      <c r="AD35" s="106">
        <f t="shared" si="5"/>
        <v>2417.064951692978</v>
      </c>
      <c r="AE35" s="114">
        <f>I35*Constants!$I$12</f>
        <v>6843.046153846155</v>
      </c>
      <c r="AF35" s="114">
        <f>J35*Constants!$I$11</f>
        <v>8513.0604651162794</v>
      </c>
      <c r="AG35" s="114">
        <f>K35*Constants!$I$13</f>
        <v>4196.6933333333336</v>
      </c>
      <c r="AH35" s="71">
        <f>L35*Constants!$I$14</f>
        <v>0</v>
      </c>
      <c r="AI35" s="71">
        <f>M35*Constants!$I$20</f>
        <v>250.8</v>
      </c>
      <c r="AJ35" s="114">
        <f t="shared" si="6"/>
        <v>19803.599952295768</v>
      </c>
      <c r="AL35" s="58">
        <v>21477.5</v>
      </c>
    </row>
    <row r="36" spans="1:38">
      <c r="A36" s="58">
        <f>Rawdata!Y38</f>
        <v>70.167361111110949</v>
      </c>
      <c r="C36">
        <v>20</v>
      </c>
      <c r="D36">
        <v>247.11</v>
      </c>
      <c r="E36">
        <v>240.83</v>
      </c>
      <c r="F36">
        <v>196.72</v>
      </c>
      <c r="G36">
        <v>0</v>
      </c>
      <c r="H36">
        <v>100</v>
      </c>
      <c r="I36" s="64">
        <f t="shared" si="0"/>
        <v>4942.2000000000007</v>
      </c>
      <c r="J36" s="64">
        <f t="shared" si="1"/>
        <v>4816.6000000000004</v>
      </c>
      <c r="K36" s="64">
        <f t="shared" si="2"/>
        <v>3934.4</v>
      </c>
      <c r="L36" s="65">
        <f t="shared" si="3"/>
        <v>0</v>
      </c>
      <c r="M36" s="65">
        <v>100</v>
      </c>
      <c r="N36" s="104">
        <f>I36/Constants!$C$12</f>
        <v>47.473452156246857</v>
      </c>
      <c r="O36" s="104">
        <f>J36/Constants!$C$11</f>
        <v>55.948426065745153</v>
      </c>
      <c r="P36" s="104">
        <f>K36/Constants!$C$13</f>
        <v>43.676731793960926</v>
      </c>
      <c r="Q36" s="62">
        <f>L36/Constants!$C$14</f>
        <v>0</v>
      </c>
      <c r="R36" s="104">
        <f>M36/Constants!$C$20</f>
        <v>0.36453909499524273</v>
      </c>
      <c r="S36" s="105">
        <f>N36*Constants!$D$12</f>
        <v>189.89380862498743</v>
      </c>
      <c r="T36" s="105">
        <f>O36*Constants!$D$11</f>
        <v>223.79370426298061</v>
      </c>
      <c r="U36" s="105">
        <f>P36*Constants!$D$13</f>
        <v>131.03019538188278</v>
      </c>
      <c r="V36" s="67">
        <f>Q36*Constants!$D$14</f>
        <v>0</v>
      </c>
      <c r="W36" s="105">
        <f>R36*Constants!$D$20</f>
        <v>6.9262428049096121</v>
      </c>
      <c r="X36" s="105">
        <f t="shared" si="4"/>
        <v>551.64395107476048</v>
      </c>
      <c r="Y36" s="106">
        <f>N36*Constants!$E$12</f>
        <v>854.52213881244347</v>
      </c>
      <c r="Z36" s="106">
        <f>O36*Constants!$E$11</f>
        <v>1007.0716691834127</v>
      </c>
      <c r="AA36" s="106">
        <f>P36*Constants!$E$13</f>
        <v>524.12078152753111</v>
      </c>
      <c r="AB36" s="69">
        <f>Q36*Constants!$E$14</f>
        <v>0</v>
      </c>
      <c r="AC36" s="106">
        <f>R36*Constants!$E$20</f>
        <v>31.350362169590873</v>
      </c>
      <c r="AD36" s="106">
        <f t="shared" si="5"/>
        <v>2417.064951692978</v>
      </c>
      <c r="AE36" s="114">
        <f>I36*Constants!$I$12</f>
        <v>6843.046153846155</v>
      </c>
      <c r="AF36" s="114">
        <f>J36*Constants!$I$11</f>
        <v>8513.0604651162794</v>
      </c>
      <c r="AG36" s="114">
        <f>K36*Constants!$I$13</f>
        <v>4196.6933333333336</v>
      </c>
      <c r="AH36" s="71">
        <f>L36*Constants!$I$14</f>
        <v>0</v>
      </c>
      <c r="AI36" s="71">
        <f>M36*Constants!$I$20</f>
        <v>250.8</v>
      </c>
      <c r="AJ36" s="114">
        <f t="shared" si="6"/>
        <v>19803.599952295768</v>
      </c>
    </row>
    <row r="37" spans="1:38">
      <c r="A37" s="58">
        <f>Rawdata!Y39</f>
        <v>72.156944444446708</v>
      </c>
      <c r="C37">
        <v>20</v>
      </c>
      <c r="D37">
        <v>247.11</v>
      </c>
      <c r="E37">
        <v>240.83</v>
      </c>
      <c r="F37">
        <v>196.72</v>
      </c>
      <c r="G37">
        <v>0</v>
      </c>
      <c r="H37">
        <v>100</v>
      </c>
      <c r="I37" s="64">
        <f t="shared" si="0"/>
        <v>4942.2000000000007</v>
      </c>
      <c r="J37" s="64">
        <f t="shared" si="1"/>
        <v>4816.6000000000004</v>
      </c>
      <c r="K37" s="64">
        <f t="shared" si="2"/>
        <v>3934.4</v>
      </c>
      <c r="L37" s="65">
        <f t="shared" si="3"/>
        <v>0</v>
      </c>
      <c r="M37" s="65">
        <v>100</v>
      </c>
      <c r="N37" s="104">
        <f>I37/Constants!$C$12</f>
        <v>47.473452156246857</v>
      </c>
      <c r="O37" s="104">
        <f>J37/Constants!$C$11</f>
        <v>55.948426065745153</v>
      </c>
      <c r="P37" s="104">
        <f>K37/Constants!$C$13</f>
        <v>43.676731793960926</v>
      </c>
      <c r="Q37" s="62">
        <f>L37/Constants!$C$14</f>
        <v>0</v>
      </c>
      <c r="R37" s="104">
        <f>M37/Constants!$C$20</f>
        <v>0.36453909499524273</v>
      </c>
      <c r="S37" s="105">
        <f>N37*Constants!$D$12</f>
        <v>189.89380862498743</v>
      </c>
      <c r="T37" s="105">
        <f>O37*Constants!$D$11</f>
        <v>223.79370426298061</v>
      </c>
      <c r="U37" s="105">
        <f>P37*Constants!$D$13</f>
        <v>131.03019538188278</v>
      </c>
      <c r="V37" s="67">
        <f>Q37*Constants!$D$14</f>
        <v>0</v>
      </c>
      <c r="W37" s="105">
        <f>R37*Constants!$D$20</f>
        <v>6.9262428049096121</v>
      </c>
      <c r="X37" s="105">
        <f t="shared" si="4"/>
        <v>551.64395107476048</v>
      </c>
      <c r="Y37" s="106">
        <f>N37*Constants!$E$12</f>
        <v>854.52213881244347</v>
      </c>
      <c r="Z37" s="106">
        <f>O37*Constants!$E$11</f>
        <v>1007.0716691834127</v>
      </c>
      <c r="AA37" s="106">
        <f>P37*Constants!$E$13</f>
        <v>524.12078152753111</v>
      </c>
      <c r="AB37" s="69">
        <f>Q37*Constants!$E$14</f>
        <v>0</v>
      </c>
      <c r="AC37" s="106">
        <f>R37*Constants!$E$20</f>
        <v>31.350362169590873</v>
      </c>
      <c r="AD37" s="106">
        <f t="shared" si="5"/>
        <v>2417.064951692978</v>
      </c>
      <c r="AE37" s="114">
        <f>I37*Constants!$I$12</f>
        <v>6843.046153846155</v>
      </c>
      <c r="AF37" s="114">
        <f>J37*Constants!$I$11</f>
        <v>8513.0604651162794</v>
      </c>
      <c r="AG37" s="114">
        <f>K37*Constants!$I$13</f>
        <v>4196.6933333333336</v>
      </c>
      <c r="AH37" s="71">
        <f>L37*Constants!$I$14</f>
        <v>0</v>
      </c>
      <c r="AI37" s="71">
        <f>M37*Constants!$I$20</f>
        <v>250.8</v>
      </c>
      <c r="AJ37" s="114">
        <f t="shared" si="6"/>
        <v>19803.599952295768</v>
      </c>
    </row>
    <row r="38" spans="1:38">
      <c r="A38" s="58">
        <f>Rawdata!Y40</f>
        <v>75.146527777775191</v>
      </c>
      <c r="B38" s="121">
        <v>75.150000000000006</v>
      </c>
      <c r="C38">
        <v>20</v>
      </c>
      <c r="D38">
        <v>510.58</v>
      </c>
      <c r="E38">
        <v>39.35</v>
      </c>
      <c r="F38">
        <v>284.11</v>
      </c>
      <c r="G38">
        <v>0</v>
      </c>
      <c r="H38">
        <v>100</v>
      </c>
      <c r="I38" s="64">
        <f t="shared" si="0"/>
        <v>10211.6</v>
      </c>
      <c r="J38" s="64">
        <f t="shared" si="1"/>
        <v>787</v>
      </c>
      <c r="K38" s="64">
        <f t="shared" si="2"/>
        <v>5682.2000000000007</v>
      </c>
      <c r="L38" s="65">
        <f t="shared" si="3"/>
        <v>0</v>
      </c>
      <c r="M38" s="65">
        <v>100</v>
      </c>
      <c r="N38" s="104">
        <f>I38/Constants!$C$12</f>
        <v>98.08990005235124</v>
      </c>
      <c r="O38" s="104">
        <f>J38/Constants!$C$11</f>
        <v>9.14159600418167</v>
      </c>
      <c r="P38" s="104">
        <f>K38/Constants!$C$13</f>
        <v>63.079484902309069</v>
      </c>
      <c r="Q38" s="62">
        <f>L38/Constants!$C$14</f>
        <v>0</v>
      </c>
      <c r="R38" s="104">
        <f>M38/Constants!$C$20</f>
        <v>0.36453909499524273</v>
      </c>
      <c r="S38" s="105">
        <f>N38*Constants!$D$12</f>
        <v>392.35960020940496</v>
      </c>
      <c r="T38" s="105">
        <f>O38*Constants!$D$11</f>
        <v>36.56638401672668</v>
      </c>
      <c r="U38" s="105">
        <f>P38*Constants!$D$13</f>
        <v>189.2384547069272</v>
      </c>
      <c r="V38" s="67">
        <f>Q38*Constants!$D$14</f>
        <v>0</v>
      </c>
      <c r="W38" s="105">
        <f>R38*Constants!$D$20</f>
        <v>6.9262428049096121</v>
      </c>
      <c r="X38" s="105">
        <f t="shared" si="4"/>
        <v>625.09068173796845</v>
      </c>
      <c r="Y38" s="106">
        <f>N38*Constants!$E$12</f>
        <v>1765.6182009423223</v>
      </c>
      <c r="Z38" s="106">
        <f>O38*Constants!$E$11</f>
        <v>164.54872807527005</v>
      </c>
      <c r="AA38" s="106">
        <f>P38*Constants!$E$13</f>
        <v>756.9538188277088</v>
      </c>
      <c r="AB38" s="69">
        <f>Q38*Constants!$E$14</f>
        <v>0</v>
      </c>
      <c r="AC38" s="106">
        <f>R38*Constants!$E$20</f>
        <v>31.350362169590873</v>
      </c>
      <c r="AD38" s="106">
        <f t="shared" si="5"/>
        <v>2718.471110014892</v>
      </c>
      <c r="AE38" s="114">
        <f>I38*Constants!$I$12</f>
        <v>14139.138461538461</v>
      </c>
      <c r="AF38" s="114">
        <f>J38*Constants!$I$11</f>
        <v>1390.9767441860465</v>
      </c>
      <c r="AG38" s="114">
        <f>K38*Constants!$I$13</f>
        <v>6061.0133333333342</v>
      </c>
      <c r="AH38" s="71">
        <f>L38*Constants!$I$14</f>
        <v>0</v>
      </c>
      <c r="AI38" s="71">
        <f>M38*Constants!$I$20</f>
        <v>250.8</v>
      </c>
      <c r="AJ38" s="114">
        <f t="shared" si="6"/>
        <v>21841.928539057841</v>
      </c>
      <c r="AL38" s="58">
        <v>23927.5</v>
      </c>
    </row>
    <row r="39" spans="1:38">
      <c r="A39" s="58">
        <f>Rawdata!Y41</f>
        <v>77.093055555553292</v>
      </c>
      <c r="C39">
        <v>20</v>
      </c>
      <c r="D39">
        <v>510.58</v>
      </c>
      <c r="E39">
        <v>39.35</v>
      </c>
      <c r="F39">
        <v>284.11</v>
      </c>
      <c r="G39">
        <v>0</v>
      </c>
      <c r="H39">
        <v>100</v>
      </c>
      <c r="I39" s="64">
        <f t="shared" si="0"/>
        <v>10211.6</v>
      </c>
      <c r="J39" s="64">
        <f t="shared" si="1"/>
        <v>787</v>
      </c>
      <c r="K39" s="64">
        <f t="shared" si="2"/>
        <v>5682.2000000000007</v>
      </c>
      <c r="L39" s="65">
        <f t="shared" si="3"/>
        <v>0</v>
      </c>
      <c r="M39" s="65">
        <v>100</v>
      </c>
      <c r="N39" s="104">
        <f>I39/Constants!$C$12</f>
        <v>98.08990005235124</v>
      </c>
      <c r="O39" s="104">
        <f>J39/Constants!$C$11</f>
        <v>9.14159600418167</v>
      </c>
      <c r="P39" s="104">
        <f>K39/Constants!$C$13</f>
        <v>63.079484902309069</v>
      </c>
      <c r="Q39" s="62">
        <f>L39/Constants!$C$14</f>
        <v>0</v>
      </c>
      <c r="R39" s="104">
        <f>M39/Constants!$C$20</f>
        <v>0.36453909499524273</v>
      </c>
      <c r="S39" s="105">
        <f>N39*Constants!$D$12</f>
        <v>392.35960020940496</v>
      </c>
      <c r="T39" s="105">
        <f>O39*Constants!$D$11</f>
        <v>36.56638401672668</v>
      </c>
      <c r="U39" s="105">
        <f>P39*Constants!$D$13</f>
        <v>189.2384547069272</v>
      </c>
      <c r="V39" s="67">
        <f>Q39*Constants!$D$14</f>
        <v>0</v>
      </c>
      <c r="W39" s="105">
        <f>R39*Constants!$D$20</f>
        <v>6.9262428049096121</v>
      </c>
      <c r="X39" s="105">
        <f t="shared" si="4"/>
        <v>625.09068173796845</v>
      </c>
      <c r="Y39" s="106">
        <f>N39*Constants!$E$12</f>
        <v>1765.6182009423223</v>
      </c>
      <c r="Z39" s="106">
        <f>O39*Constants!$E$11</f>
        <v>164.54872807527005</v>
      </c>
      <c r="AA39" s="106">
        <f>P39*Constants!$E$13</f>
        <v>756.9538188277088</v>
      </c>
      <c r="AB39" s="69">
        <f>Q39*Constants!$E$14</f>
        <v>0</v>
      </c>
      <c r="AC39" s="106">
        <f>R39*Constants!$E$20</f>
        <v>31.350362169590873</v>
      </c>
      <c r="AD39" s="106">
        <f t="shared" si="5"/>
        <v>2718.471110014892</v>
      </c>
      <c r="AE39" s="114">
        <f>I39*Constants!$I$12</f>
        <v>14139.138461538461</v>
      </c>
      <c r="AF39" s="114">
        <f>J39*Constants!$I$11</f>
        <v>1390.9767441860465</v>
      </c>
      <c r="AG39" s="114">
        <f>K39*Constants!$I$13</f>
        <v>6061.0133333333342</v>
      </c>
      <c r="AH39" s="71">
        <f>L39*Constants!$I$14</f>
        <v>0</v>
      </c>
      <c r="AI39" s="71">
        <f>M39*Constants!$I$20</f>
        <v>250.8</v>
      </c>
      <c r="AJ39" s="114">
        <f t="shared" si="6"/>
        <v>21841.928539057841</v>
      </c>
    </row>
    <row r="40" spans="1:38">
      <c r="A40" s="58">
        <f>Rawdata!Y42</f>
        <v>79.150000000001455</v>
      </c>
      <c r="C40">
        <v>20</v>
      </c>
      <c r="D40">
        <v>510.58</v>
      </c>
      <c r="E40">
        <v>39.35</v>
      </c>
      <c r="F40">
        <v>284.11</v>
      </c>
      <c r="G40">
        <v>0</v>
      </c>
      <c r="H40">
        <v>100</v>
      </c>
      <c r="I40" s="64">
        <f t="shared" si="0"/>
        <v>10211.6</v>
      </c>
      <c r="J40" s="64">
        <f t="shared" si="1"/>
        <v>787</v>
      </c>
      <c r="K40" s="64">
        <f t="shared" si="2"/>
        <v>5682.2000000000007</v>
      </c>
      <c r="L40" s="65">
        <f t="shared" si="3"/>
        <v>0</v>
      </c>
      <c r="M40" s="65">
        <v>100</v>
      </c>
      <c r="N40" s="104">
        <f>I40/Constants!$C$12</f>
        <v>98.08990005235124</v>
      </c>
      <c r="O40" s="104">
        <f>J40/Constants!$C$11</f>
        <v>9.14159600418167</v>
      </c>
      <c r="P40" s="104">
        <f>K40/Constants!$C$13</f>
        <v>63.079484902309069</v>
      </c>
      <c r="Q40" s="62">
        <f>L40/Constants!$C$14</f>
        <v>0</v>
      </c>
      <c r="R40" s="104">
        <f>M40/Constants!$C$20</f>
        <v>0.36453909499524273</v>
      </c>
      <c r="S40" s="105">
        <f>N40*Constants!$D$12</f>
        <v>392.35960020940496</v>
      </c>
      <c r="T40" s="105">
        <f>O40*Constants!$D$11</f>
        <v>36.56638401672668</v>
      </c>
      <c r="U40" s="105">
        <f>P40*Constants!$D$13</f>
        <v>189.2384547069272</v>
      </c>
      <c r="V40" s="67">
        <f>Q40*Constants!$D$14</f>
        <v>0</v>
      </c>
      <c r="W40" s="105">
        <f>R40*Constants!$D$20</f>
        <v>6.9262428049096121</v>
      </c>
      <c r="X40" s="105">
        <f t="shared" si="4"/>
        <v>625.09068173796845</v>
      </c>
      <c r="Y40" s="106">
        <f>N40*Constants!$E$12</f>
        <v>1765.6182009423223</v>
      </c>
      <c r="Z40" s="106">
        <f>O40*Constants!$E$11</f>
        <v>164.54872807527005</v>
      </c>
      <c r="AA40" s="106">
        <f>P40*Constants!$E$13</f>
        <v>756.9538188277088</v>
      </c>
      <c r="AB40" s="69">
        <f>Q40*Constants!$E$14</f>
        <v>0</v>
      </c>
      <c r="AC40" s="106">
        <f>R40*Constants!$E$20</f>
        <v>31.350362169590873</v>
      </c>
      <c r="AD40" s="106">
        <f t="shared" si="5"/>
        <v>2718.471110014892</v>
      </c>
      <c r="AE40" s="114">
        <f>I40*Constants!$I$12</f>
        <v>14139.138461538461</v>
      </c>
      <c r="AF40" s="114">
        <f>J40*Constants!$I$11</f>
        <v>1390.9767441860465</v>
      </c>
      <c r="AG40" s="114">
        <f>K40*Constants!$I$13</f>
        <v>6061.0133333333342</v>
      </c>
      <c r="AH40" s="71">
        <f>L40*Constants!$I$14</f>
        <v>0</v>
      </c>
      <c r="AI40" s="71">
        <f>M40*Constants!$I$20</f>
        <v>250.8</v>
      </c>
      <c r="AJ40" s="114">
        <f t="shared" si="6"/>
        <v>21841.928539057841</v>
      </c>
    </row>
    <row r="41" spans="1:38">
      <c r="A41" s="58">
        <f>Rawdata!Y43</f>
        <v>82.143055555556202</v>
      </c>
      <c r="C41">
        <v>20</v>
      </c>
      <c r="D41">
        <v>510.58</v>
      </c>
      <c r="E41">
        <v>39.35</v>
      </c>
      <c r="F41">
        <v>284.11</v>
      </c>
      <c r="G41">
        <v>0</v>
      </c>
      <c r="H41">
        <v>100</v>
      </c>
      <c r="I41" s="64">
        <f t="shared" si="0"/>
        <v>10211.6</v>
      </c>
      <c r="J41" s="64">
        <f t="shared" si="1"/>
        <v>787</v>
      </c>
      <c r="K41" s="64">
        <f t="shared" si="2"/>
        <v>5682.2000000000007</v>
      </c>
      <c r="L41" s="65">
        <f t="shared" si="3"/>
        <v>0</v>
      </c>
      <c r="M41" s="65">
        <v>100</v>
      </c>
      <c r="N41" s="104">
        <f>I41/Constants!$C$12</f>
        <v>98.08990005235124</v>
      </c>
      <c r="O41" s="104">
        <f>J41/Constants!$C$11</f>
        <v>9.14159600418167</v>
      </c>
      <c r="P41" s="104">
        <f>K41/Constants!$C$13</f>
        <v>63.079484902309069</v>
      </c>
      <c r="Q41" s="62">
        <f>L41/Constants!$C$14</f>
        <v>0</v>
      </c>
      <c r="R41" s="104">
        <f>M41/Constants!$C$20</f>
        <v>0.36453909499524273</v>
      </c>
      <c r="S41" s="105">
        <f>N41*Constants!$D$12</f>
        <v>392.35960020940496</v>
      </c>
      <c r="T41" s="105">
        <f>O41*Constants!$D$11</f>
        <v>36.56638401672668</v>
      </c>
      <c r="U41" s="105">
        <f>P41*Constants!$D$13</f>
        <v>189.2384547069272</v>
      </c>
      <c r="V41" s="67">
        <f>Q41*Constants!$D$14</f>
        <v>0</v>
      </c>
      <c r="W41" s="105">
        <f>R41*Constants!$D$20</f>
        <v>6.9262428049096121</v>
      </c>
      <c r="X41" s="105">
        <f t="shared" si="4"/>
        <v>625.09068173796845</v>
      </c>
      <c r="Y41" s="106">
        <f>N41*Constants!$E$12</f>
        <v>1765.6182009423223</v>
      </c>
      <c r="Z41" s="106">
        <f>O41*Constants!$E$11</f>
        <v>164.54872807527005</v>
      </c>
      <c r="AA41" s="106">
        <f>P41*Constants!$E$13</f>
        <v>756.9538188277088</v>
      </c>
      <c r="AB41" s="69">
        <f>Q41*Constants!$E$14</f>
        <v>0</v>
      </c>
      <c r="AC41" s="106">
        <f>R41*Constants!$E$20</f>
        <v>31.350362169590873</v>
      </c>
      <c r="AD41" s="106">
        <f t="shared" si="5"/>
        <v>2718.471110014892</v>
      </c>
      <c r="AE41" s="114">
        <f>I41*Constants!$I$12</f>
        <v>14139.138461538461</v>
      </c>
      <c r="AF41" s="114">
        <f>J41*Constants!$I$11</f>
        <v>1390.9767441860465</v>
      </c>
      <c r="AG41" s="114">
        <f>K41*Constants!$I$13</f>
        <v>6061.0133333333342</v>
      </c>
      <c r="AH41" s="71">
        <f>L41*Constants!$I$14</f>
        <v>0</v>
      </c>
      <c r="AI41" s="71">
        <f>M41*Constants!$I$20</f>
        <v>250.8</v>
      </c>
      <c r="AJ41" s="114">
        <f t="shared" si="6"/>
        <v>21841.928539057841</v>
      </c>
    </row>
    <row r="42" spans="1:38">
      <c r="A42" s="58">
        <f>Rawdata!Y44</f>
        <v>84.15763888888614</v>
      </c>
      <c r="B42" s="121">
        <v>84.16</v>
      </c>
      <c r="C42">
        <v>20</v>
      </c>
      <c r="D42">
        <v>477.87</v>
      </c>
      <c r="E42">
        <v>38.93</v>
      </c>
      <c r="F42">
        <v>265.06</v>
      </c>
      <c r="G42">
        <v>0</v>
      </c>
      <c r="H42">
        <v>100</v>
      </c>
      <c r="I42" s="64">
        <f t="shared" si="0"/>
        <v>9557.4</v>
      </c>
      <c r="J42" s="64">
        <f t="shared" si="1"/>
        <v>778.6</v>
      </c>
      <c r="K42" s="64">
        <f t="shared" si="2"/>
        <v>5301.2</v>
      </c>
      <c r="L42" s="65">
        <f t="shared" si="3"/>
        <v>0</v>
      </c>
      <c r="M42" s="65">
        <v>100</v>
      </c>
      <c r="N42" s="104">
        <f>I42/Constants!$C$12</f>
        <v>91.805829719176401</v>
      </c>
      <c r="O42" s="104">
        <f>J42/Constants!$C$11</f>
        <v>9.0440236961319549</v>
      </c>
      <c r="P42" s="104">
        <f>K42/Constants!$C$13</f>
        <v>58.849911190053284</v>
      </c>
      <c r="Q42" s="62">
        <f>L42/Constants!$C$14</f>
        <v>0</v>
      </c>
      <c r="R42" s="104">
        <f>M42/Constants!$C$20</f>
        <v>0.36453909499524273</v>
      </c>
      <c r="S42" s="105">
        <f>N42*Constants!$D$12</f>
        <v>367.2233188767056</v>
      </c>
      <c r="T42" s="105">
        <f>O42*Constants!$D$11</f>
        <v>36.17609478452782</v>
      </c>
      <c r="U42" s="105">
        <f>P42*Constants!$D$13</f>
        <v>176.54973357015984</v>
      </c>
      <c r="V42" s="67">
        <f>Q42*Constants!$D$14</f>
        <v>0</v>
      </c>
      <c r="W42" s="105">
        <f>R42*Constants!$D$20</f>
        <v>6.9262428049096121</v>
      </c>
      <c r="X42" s="105">
        <f t="shared" si="4"/>
        <v>586.87539003630286</v>
      </c>
      <c r="Y42" s="106">
        <f>N42*Constants!$E$12</f>
        <v>1652.5049349451751</v>
      </c>
      <c r="Z42" s="106">
        <f>O42*Constants!$E$11</f>
        <v>162.7924265303752</v>
      </c>
      <c r="AA42" s="106">
        <f>P42*Constants!$E$13</f>
        <v>706.19893428063938</v>
      </c>
      <c r="AB42" s="69">
        <f>Q42*Constants!$E$14</f>
        <v>0</v>
      </c>
      <c r="AC42" s="106">
        <f>R42*Constants!$E$20</f>
        <v>31.350362169590873</v>
      </c>
      <c r="AD42" s="106">
        <f t="shared" si="5"/>
        <v>2552.8466579257806</v>
      </c>
      <c r="AE42" s="114">
        <f>I42*Constants!$I$12</f>
        <v>13233.323076923076</v>
      </c>
      <c r="AF42" s="114">
        <f>J42*Constants!$I$11</f>
        <v>1376.1302325581396</v>
      </c>
      <c r="AG42" s="114">
        <f>K42*Constants!$I$13</f>
        <v>5654.6133333333328</v>
      </c>
      <c r="AH42" s="71">
        <f>L42*Constants!$I$14</f>
        <v>0</v>
      </c>
      <c r="AI42" s="71">
        <f>M42*Constants!$I$20</f>
        <v>250.8</v>
      </c>
      <c r="AJ42" s="114">
        <f t="shared" si="6"/>
        <v>20514.866642814548</v>
      </c>
      <c r="AL42" s="58">
        <v>24162.5</v>
      </c>
    </row>
    <row r="43" spans="1:38">
      <c r="A43" s="58">
        <f>Rawdata!Y45</f>
        <v>86.27986111111386</v>
      </c>
      <c r="C43">
        <v>20</v>
      </c>
      <c r="D43">
        <v>477.87</v>
      </c>
      <c r="E43">
        <v>38.93</v>
      </c>
      <c r="F43">
        <v>265.06</v>
      </c>
      <c r="G43">
        <v>0</v>
      </c>
      <c r="H43">
        <v>100</v>
      </c>
      <c r="I43" s="64">
        <f t="shared" si="0"/>
        <v>9557.4</v>
      </c>
      <c r="J43" s="64">
        <f t="shared" si="1"/>
        <v>778.6</v>
      </c>
      <c r="K43" s="64">
        <f t="shared" si="2"/>
        <v>5301.2</v>
      </c>
      <c r="L43" s="65">
        <f t="shared" si="3"/>
        <v>0</v>
      </c>
      <c r="M43" s="65">
        <v>100</v>
      </c>
      <c r="N43" s="104">
        <f>I43/Constants!$C$12</f>
        <v>91.805829719176401</v>
      </c>
      <c r="O43" s="104">
        <f>J43/Constants!$C$11</f>
        <v>9.0440236961319549</v>
      </c>
      <c r="P43" s="104">
        <f>K43/Constants!$C$13</f>
        <v>58.849911190053284</v>
      </c>
      <c r="Q43" s="62">
        <f>L43/Constants!$C$14</f>
        <v>0</v>
      </c>
      <c r="R43" s="104">
        <f>M43/Constants!$C$20</f>
        <v>0.36453909499524273</v>
      </c>
      <c r="S43" s="105">
        <f>N43*Constants!$D$12</f>
        <v>367.2233188767056</v>
      </c>
      <c r="T43" s="105">
        <f>O43*Constants!$D$11</f>
        <v>36.17609478452782</v>
      </c>
      <c r="U43" s="105">
        <f>P43*Constants!$D$13</f>
        <v>176.54973357015984</v>
      </c>
      <c r="V43" s="67">
        <f>Q43*Constants!$D$14</f>
        <v>0</v>
      </c>
      <c r="W43" s="105">
        <f>R43*Constants!$D$20</f>
        <v>6.9262428049096121</v>
      </c>
      <c r="X43" s="105">
        <f t="shared" si="4"/>
        <v>586.87539003630286</v>
      </c>
      <c r="Y43" s="106">
        <f>N43*Constants!$E$12</f>
        <v>1652.5049349451751</v>
      </c>
      <c r="Z43" s="106">
        <f>O43*Constants!$E$11</f>
        <v>162.7924265303752</v>
      </c>
      <c r="AA43" s="106">
        <f>P43*Constants!$E$13</f>
        <v>706.19893428063938</v>
      </c>
      <c r="AB43" s="69">
        <f>Q43*Constants!$E$14</f>
        <v>0</v>
      </c>
      <c r="AC43" s="106">
        <f>R43*Constants!$E$20</f>
        <v>31.350362169590873</v>
      </c>
      <c r="AD43" s="106">
        <f t="shared" si="5"/>
        <v>2552.8466579257806</v>
      </c>
      <c r="AE43" s="114">
        <f>I43*Constants!$I$12</f>
        <v>13233.323076923076</v>
      </c>
      <c r="AF43" s="114">
        <f>J43*Constants!$I$11</f>
        <v>1376.1302325581396</v>
      </c>
      <c r="AG43" s="114">
        <f>K43*Constants!$I$13</f>
        <v>5654.6133333333328</v>
      </c>
      <c r="AH43" s="71">
        <f>L43*Constants!$I$14</f>
        <v>0</v>
      </c>
      <c r="AI43" s="71">
        <f>M43*Constants!$I$20</f>
        <v>250.8</v>
      </c>
      <c r="AJ43" s="114">
        <f t="shared" si="6"/>
        <v>20514.866642814548</v>
      </c>
    </row>
    <row r="44" spans="1:38">
      <c r="A44" s="58">
        <f>Rawdata!Y46</f>
        <v>89.148611111115315</v>
      </c>
      <c r="C44">
        <v>20</v>
      </c>
      <c r="D44">
        <v>477.87</v>
      </c>
      <c r="E44">
        <v>38.93</v>
      </c>
      <c r="F44">
        <v>265.06</v>
      </c>
      <c r="G44">
        <v>0</v>
      </c>
      <c r="H44">
        <v>100</v>
      </c>
      <c r="I44" s="64">
        <f t="shared" si="0"/>
        <v>9557.4</v>
      </c>
      <c r="J44" s="64">
        <f t="shared" si="1"/>
        <v>778.6</v>
      </c>
      <c r="K44" s="64">
        <f t="shared" si="2"/>
        <v>5301.2</v>
      </c>
      <c r="L44" s="65">
        <f t="shared" si="3"/>
        <v>0</v>
      </c>
      <c r="M44" s="65">
        <v>100</v>
      </c>
      <c r="N44" s="104">
        <f>I44/Constants!$C$12</f>
        <v>91.805829719176401</v>
      </c>
      <c r="O44" s="104">
        <f>J44/Constants!$C$11</f>
        <v>9.0440236961319549</v>
      </c>
      <c r="P44" s="104">
        <f>K44/Constants!$C$13</f>
        <v>58.849911190053284</v>
      </c>
      <c r="Q44" s="62">
        <f>L44/Constants!$C$14</f>
        <v>0</v>
      </c>
      <c r="R44" s="104">
        <f>M44/Constants!$C$20</f>
        <v>0.36453909499524273</v>
      </c>
      <c r="S44" s="105">
        <f>N44*Constants!$D$12</f>
        <v>367.2233188767056</v>
      </c>
      <c r="T44" s="105">
        <f>O44*Constants!$D$11</f>
        <v>36.17609478452782</v>
      </c>
      <c r="U44" s="105">
        <f>P44*Constants!$D$13</f>
        <v>176.54973357015984</v>
      </c>
      <c r="V44" s="67">
        <f>Q44*Constants!$D$14</f>
        <v>0</v>
      </c>
      <c r="W44" s="105">
        <f>R44*Constants!$D$20</f>
        <v>6.9262428049096121</v>
      </c>
      <c r="X44" s="105">
        <f t="shared" si="4"/>
        <v>586.87539003630286</v>
      </c>
      <c r="Y44" s="106">
        <f>N44*Constants!$E$12</f>
        <v>1652.5049349451751</v>
      </c>
      <c r="Z44" s="106">
        <f>O44*Constants!$E$11</f>
        <v>162.7924265303752</v>
      </c>
      <c r="AA44" s="106">
        <f>P44*Constants!$E$13</f>
        <v>706.19893428063938</v>
      </c>
      <c r="AB44" s="69">
        <f>Q44*Constants!$E$14</f>
        <v>0</v>
      </c>
      <c r="AC44" s="106">
        <f>R44*Constants!$E$20</f>
        <v>31.350362169590873</v>
      </c>
      <c r="AD44" s="106">
        <f t="shared" si="5"/>
        <v>2552.8466579257806</v>
      </c>
      <c r="AE44" s="114">
        <f>I44*Constants!$I$12</f>
        <v>13233.323076923076</v>
      </c>
      <c r="AF44" s="114">
        <f>J44*Constants!$I$11</f>
        <v>1376.1302325581396</v>
      </c>
      <c r="AG44" s="114">
        <f>K44*Constants!$I$13</f>
        <v>5654.6133333333328</v>
      </c>
      <c r="AH44" s="71">
        <f>L44*Constants!$I$14</f>
        <v>0</v>
      </c>
      <c r="AI44" s="71">
        <f>M44*Constants!$I$20</f>
        <v>250.8</v>
      </c>
      <c r="AJ44" s="114">
        <f t="shared" si="6"/>
        <v>20514.866642814548</v>
      </c>
    </row>
    <row r="45" spans="1:38">
      <c r="A45" s="58">
        <f>Rawdata!Y47</f>
        <v>91.1875</v>
      </c>
      <c r="C45">
        <v>20</v>
      </c>
      <c r="D45">
        <v>477.87</v>
      </c>
      <c r="E45">
        <v>38.93</v>
      </c>
      <c r="F45">
        <v>265.06</v>
      </c>
      <c r="G45">
        <v>0</v>
      </c>
      <c r="H45">
        <v>100</v>
      </c>
      <c r="I45" s="64">
        <f t="shared" si="0"/>
        <v>9557.4</v>
      </c>
      <c r="J45" s="64">
        <f t="shared" si="1"/>
        <v>778.6</v>
      </c>
      <c r="K45" s="64">
        <f t="shared" si="2"/>
        <v>5301.2</v>
      </c>
      <c r="L45" s="65">
        <f t="shared" si="3"/>
        <v>0</v>
      </c>
      <c r="M45" s="65">
        <v>100</v>
      </c>
      <c r="N45" s="104">
        <f>I45/Constants!$C$12</f>
        <v>91.805829719176401</v>
      </c>
      <c r="O45" s="104">
        <f>J45/Constants!$C$11</f>
        <v>9.0440236961319549</v>
      </c>
      <c r="P45" s="104">
        <f>K45/Constants!$C$13</f>
        <v>58.849911190053284</v>
      </c>
      <c r="Q45" s="62">
        <f>L45/Constants!$C$14</f>
        <v>0</v>
      </c>
      <c r="R45" s="104">
        <f>M45/Constants!$C$20</f>
        <v>0.36453909499524273</v>
      </c>
      <c r="S45" s="105">
        <f>N45*Constants!$D$12</f>
        <v>367.2233188767056</v>
      </c>
      <c r="T45" s="105">
        <f>O45*Constants!$D$11</f>
        <v>36.17609478452782</v>
      </c>
      <c r="U45" s="105">
        <f>P45*Constants!$D$13</f>
        <v>176.54973357015984</v>
      </c>
      <c r="V45" s="67">
        <f>Q45*Constants!$D$14</f>
        <v>0</v>
      </c>
      <c r="W45" s="105">
        <f>R45*Constants!$D$20</f>
        <v>6.9262428049096121</v>
      </c>
      <c r="X45" s="105">
        <f t="shared" si="4"/>
        <v>586.87539003630286</v>
      </c>
      <c r="Y45" s="106">
        <f>N45*Constants!$E$12</f>
        <v>1652.5049349451751</v>
      </c>
      <c r="Z45" s="106">
        <f>O45*Constants!$E$11</f>
        <v>162.7924265303752</v>
      </c>
      <c r="AA45" s="106">
        <f>P45*Constants!$E$13</f>
        <v>706.19893428063938</v>
      </c>
      <c r="AB45" s="69">
        <f>Q45*Constants!$E$14</f>
        <v>0</v>
      </c>
      <c r="AC45" s="106">
        <f>R45*Constants!$E$20</f>
        <v>31.350362169590873</v>
      </c>
      <c r="AD45" s="106">
        <f t="shared" si="5"/>
        <v>2552.8466579257806</v>
      </c>
      <c r="AE45" s="114">
        <f>I45*Constants!$I$12</f>
        <v>13233.323076923076</v>
      </c>
      <c r="AF45" s="114">
        <f>J45*Constants!$I$11</f>
        <v>1376.1302325581396</v>
      </c>
      <c r="AG45" s="114">
        <f>K45*Constants!$I$13</f>
        <v>5654.6133333333328</v>
      </c>
      <c r="AH45" s="71">
        <f>L45*Constants!$I$14</f>
        <v>0</v>
      </c>
      <c r="AI45" s="71">
        <f>M45*Constants!$I$20</f>
        <v>250.8</v>
      </c>
      <c r="AJ45" s="114">
        <f t="shared" si="6"/>
        <v>20514.866642814548</v>
      </c>
    </row>
    <row r="46" spans="1:38">
      <c r="A46" s="58">
        <f>Rawdata!Y48</f>
        <v>93.170833333337214</v>
      </c>
      <c r="B46" s="121">
        <v>95.15</v>
      </c>
      <c r="C46">
        <v>20</v>
      </c>
      <c r="D46">
        <v>497.13</v>
      </c>
      <c r="E46">
        <v>38.69</v>
      </c>
      <c r="F46">
        <v>267.77999999999997</v>
      </c>
      <c r="G46">
        <v>0</v>
      </c>
      <c r="H46">
        <v>100</v>
      </c>
      <c r="I46" s="64">
        <f t="shared" si="0"/>
        <v>9942.6</v>
      </c>
      <c r="J46" s="64">
        <f t="shared" si="1"/>
        <v>773.8</v>
      </c>
      <c r="K46" s="64">
        <f t="shared" si="2"/>
        <v>5355.5999999999995</v>
      </c>
      <c r="L46" s="65">
        <f t="shared" si="3"/>
        <v>0</v>
      </c>
      <c r="M46" s="65">
        <v>100</v>
      </c>
      <c r="N46" s="104">
        <f>I46/Constants!$C$12</f>
        <v>95.50595795570797</v>
      </c>
      <c r="O46" s="104">
        <f>J46/Constants!$C$11</f>
        <v>8.9882680915321167</v>
      </c>
      <c r="P46" s="104">
        <f>K46/Constants!$C$13</f>
        <v>59.453818827708702</v>
      </c>
      <c r="Q46" s="62">
        <f>L46/Constants!$C$14</f>
        <v>0</v>
      </c>
      <c r="R46" s="104">
        <f>M46/Constants!$C$20</f>
        <v>0.36453909499524273</v>
      </c>
      <c r="S46" s="105">
        <f>N46*Constants!$D$12</f>
        <v>382.02383182283188</v>
      </c>
      <c r="T46" s="105">
        <f>O46*Constants!$D$11</f>
        <v>35.953072366128467</v>
      </c>
      <c r="U46" s="105">
        <f>P46*Constants!$D$13</f>
        <v>178.36145648312612</v>
      </c>
      <c r="V46" s="67">
        <f>Q46*Constants!$D$14</f>
        <v>0</v>
      </c>
      <c r="W46" s="105">
        <f>R46*Constants!$D$20</f>
        <v>6.9262428049096121</v>
      </c>
      <c r="X46" s="105">
        <f t="shared" si="4"/>
        <v>603.26460347699617</v>
      </c>
      <c r="Y46" s="106">
        <f>N46*Constants!$E$12</f>
        <v>1719.1072432027436</v>
      </c>
      <c r="Z46" s="106">
        <f>O46*Constants!$E$11</f>
        <v>161.78882564757811</v>
      </c>
      <c r="AA46" s="106">
        <f>P46*Constants!$E$13</f>
        <v>713.44582593250448</v>
      </c>
      <c r="AB46" s="69">
        <f>Q46*Constants!$E$14</f>
        <v>0</v>
      </c>
      <c r="AC46" s="106">
        <f>R46*Constants!$E$20</f>
        <v>31.350362169590873</v>
      </c>
      <c r="AD46" s="106">
        <f t="shared" si="5"/>
        <v>2625.6922569524168</v>
      </c>
      <c r="AE46" s="114">
        <f>I46*Constants!$I$12</f>
        <v>13766.676923076924</v>
      </c>
      <c r="AF46" s="114">
        <f>J46*Constants!$I$11</f>
        <v>1367.6465116279069</v>
      </c>
      <c r="AG46" s="114">
        <f>K46*Constants!$I$13</f>
        <v>5712.6399999999994</v>
      </c>
      <c r="AH46" s="71">
        <f>L46*Constants!$I$14</f>
        <v>0</v>
      </c>
      <c r="AI46" s="71">
        <f>M46*Constants!$I$20</f>
        <v>250.8</v>
      </c>
      <c r="AJ46" s="114">
        <f t="shared" si="6"/>
        <v>21097.76343470483</v>
      </c>
      <c r="AL46" s="58">
        <v>20452.5</v>
      </c>
    </row>
    <row r="47" spans="1:38">
      <c r="A47" s="58">
        <f>Rawdata!Y49</f>
        <v>96.150694444448163</v>
      </c>
      <c r="C47">
        <v>20</v>
      </c>
      <c r="D47">
        <v>497.13</v>
      </c>
      <c r="E47">
        <v>38.69</v>
      </c>
      <c r="F47">
        <v>267.77999999999997</v>
      </c>
      <c r="G47">
        <v>0</v>
      </c>
      <c r="H47">
        <v>100</v>
      </c>
      <c r="I47" s="64">
        <f t="shared" si="0"/>
        <v>9942.6</v>
      </c>
      <c r="J47" s="64">
        <f t="shared" si="1"/>
        <v>773.8</v>
      </c>
      <c r="K47" s="64">
        <f t="shared" si="2"/>
        <v>5355.5999999999995</v>
      </c>
      <c r="L47" s="65">
        <f t="shared" si="3"/>
        <v>0</v>
      </c>
      <c r="M47" s="65">
        <v>100</v>
      </c>
      <c r="N47" s="104">
        <f>I47/Constants!$C$12</f>
        <v>95.50595795570797</v>
      </c>
      <c r="O47" s="104">
        <f>J47/Constants!$C$11</f>
        <v>8.9882680915321167</v>
      </c>
      <c r="P47" s="104">
        <f>K47/Constants!$C$13</f>
        <v>59.453818827708702</v>
      </c>
      <c r="Q47" s="62">
        <f>L47/Constants!$C$14</f>
        <v>0</v>
      </c>
      <c r="R47" s="104">
        <f>M47/Constants!$C$20</f>
        <v>0.36453909499524273</v>
      </c>
      <c r="S47" s="105">
        <f>N47*Constants!$D$12</f>
        <v>382.02383182283188</v>
      </c>
      <c r="T47" s="105">
        <f>O47*Constants!$D$11</f>
        <v>35.953072366128467</v>
      </c>
      <c r="U47" s="105">
        <f>P47*Constants!$D$13</f>
        <v>178.36145648312612</v>
      </c>
      <c r="V47" s="67">
        <f>Q47*Constants!$D$14</f>
        <v>0</v>
      </c>
      <c r="W47" s="105">
        <f>R47*Constants!$D$20</f>
        <v>6.9262428049096121</v>
      </c>
      <c r="X47" s="105">
        <f t="shared" si="4"/>
        <v>603.26460347699617</v>
      </c>
      <c r="Y47" s="106">
        <f>N47*Constants!$E$12</f>
        <v>1719.1072432027436</v>
      </c>
      <c r="Z47" s="106">
        <f>O47*Constants!$E$11</f>
        <v>161.78882564757811</v>
      </c>
      <c r="AA47" s="106">
        <f>P47*Constants!$E$13</f>
        <v>713.44582593250448</v>
      </c>
      <c r="AB47" s="69">
        <f>Q47*Constants!$E$14</f>
        <v>0</v>
      </c>
      <c r="AC47" s="106">
        <f>R47*Constants!$E$20</f>
        <v>31.350362169590873</v>
      </c>
      <c r="AD47" s="106">
        <f t="shared" si="5"/>
        <v>2625.6922569524168</v>
      </c>
      <c r="AE47" s="114">
        <f>I47*Constants!$I$12</f>
        <v>13766.676923076924</v>
      </c>
      <c r="AF47" s="114">
        <f>J47*Constants!$I$11</f>
        <v>1367.6465116279069</v>
      </c>
      <c r="AG47" s="114">
        <f>K47*Constants!$I$13</f>
        <v>5712.6399999999994</v>
      </c>
      <c r="AH47" s="71">
        <f>L47*Constants!$I$14</f>
        <v>0</v>
      </c>
      <c r="AI47" s="71">
        <f>M47*Constants!$I$20</f>
        <v>250.8</v>
      </c>
      <c r="AJ47" s="114">
        <f t="shared" si="6"/>
        <v>21097.76343470483</v>
      </c>
    </row>
    <row r="48" spans="1:38">
      <c r="A48" s="58">
        <f>Rawdata!Y50</f>
        <v>98.159722222226264</v>
      </c>
      <c r="C48">
        <v>20</v>
      </c>
      <c r="D48">
        <v>497.13</v>
      </c>
      <c r="E48">
        <v>38.69</v>
      </c>
      <c r="F48">
        <v>267.77999999999997</v>
      </c>
      <c r="G48">
        <v>0</v>
      </c>
      <c r="H48">
        <v>100</v>
      </c>
      <c r="I48" s="64">
        <f t="shared" si="0"/>
        <v>9942.6</v>
      </c>
      <c r="J48" s="64">
        <f t="shared" si="1"/>
        <v>773.8</v>
      </c>
      <c r="K48" s="64">
        <f t="shared" si="2"/>
        <v>5355.5999999999995</v>
      </c>
      <c r="L48" s="65">
        <f t="shared" si="3"/>
        <v>0</v>
      </c>
      <c r="M48" s="65">
        <v>100</v>
      </c>
      <c r="N48" s="104">
        <f>I48/Constants!$C$12</f>
        <v>95.50595795570797</v>
      </c>
      <c r="O48" s="104">
        <f>J48/Constants!$C$11</f>
        <v>8.9882680915321167</v>
      </c>
      <c r="P48" s="104">
        <f>K48/Constants!$C$13</f>
        <v>59.453818827708702</v>
      </c>
      <c r="Q48" s="62">
        <f>L48/Constants!$C$14</f>
        <v>0</v>
      </c>
      <c r="R48" s="104">
        <f>M48/Constants!$C$20</f>
        <v>0.36453909499524273</v>
      </c>
      <c r="S48" s="105">
        <f>N48*Constants!$D$12</f>
        <v>382.02383182283188</v>
      </c>
      <c r="T48" s="105">
        <f>O48*Constants!$D$11</f>
        <v>35.953072366128467</v>
      </c>
      <c r="U48" s="105">
        <f>P48*Constants!$D$13</f>
        <v>178.36145648312612</v>
      </c>
      <c r="V48" s="67">
        <f>Q48*Constants!$D$14</f>
        <v>0</v>
      </c>
      <c r="W48" s="105">
        <f>R48*Constants!$D$20</f>
        <v>6.9262428049096121</v>
      </c>
      <c r="X48" s="105">
        <f t="shared" si="4"/>
        <v>603.26460347699617</v>
      </c>
      <c r="Y48" s="106">
        <f>N48*Constants!$E$12</f>
        <v>1719.1072432027436</v>
      </c>
      <c r="Z48" s="106">
        <f>O48*Constants!$E$11</f>
        <v>161.78882564757811</v>
      </c>
      <c r="AA48" s="106">
        <f>P48*Constants!$E$13</f>
        <v>713.44582593250448</v>
      </c>
      <c r="AB48" s="69">
        <f>Q48*Constants!$E$14</f>
        <v>0</v>
      </c>
      <c r="AC48" s="106">
        <f>R48*Constants!$E$20</f>
        <v>31.350362169590873</v>
      </c>
      <c r="AD48" s="106">
        <f t="shared" si="5"/>
        <v>2625.6922569524168</v>
      </c>
      <c r="AE48" s="114">
        <f>I48*Constants!$I$12</f>
        <v>13766.676923076924</v>
      </c>
      <c r="AF48" s="114">
        <f>J48*Constants!$I$11</f>
        <v>1367.6465116279069</v>
      </c>
      <c r="AG48" s="114">
        <f>K48*Constants!$I$13</f>
        <v>5712.6399999999994</v>
      </c>
      <c r="AH48" s="71">
        <f>L48*Constants!$I$14</f>
        <v>0</v>
      </c>
      <c r="AI48" s="71">
        <f>M48*Constants!$I$20</f>
        <v>250.8</v>
      </c>
      <c r="AJ48" s="114">
        <f t="shared" si="6"/>
        <v>21097.76343470483</v>
      </c>
    </row>
    <row r="49" spans="1:39">
      <c r="A49" s="58">
        <f>Rawdata!Y51</f>
        <v>100.14930555555475</v>
      </c>
      <c r="C49">
        <v>20</v>
      </c>
      <c r="D49">
        <v>497.13</v>
      </c>
      <c r="E49">
        <v>38.69</v>
      </c>
      <c r="F49">
        <v>267.77999999999997</v>
      </c>
      <c r="G49">
        <v>0</v>
      </c>
      <c r="H49">
        <v>100</v>
      </c>
      <c r="I49" s="64">
        <f t="shared" si="0"/>
        <v>9942.6</v>
      </c>
      <c r="J49" s="64">
        <f t="shared" si="1"/>
        <v>773.8</v>
      </c>
      <c r="K49" s="64">
        <f t="shared" si="2"/>
        <v>5355.5999999999995</v>
      </c>
      <c r="L49" s="65">
        <f t="shared" si="3"/>
        <v>0</v>
      </c>
      <c r="M49" s="65">
        <v>100</v>
      </c>
      <c r="N49" s="104">
        <f>I49/Constants!$C$12</f>
        <v>95.50595795570797</v>
      </c>
      <c r="O49" s="104">
        <f>J49/Constants!$C$11</f>
        <v>8.9882680915321167</v>
      </c>
      <c r="P49" s="104">
        <f>K49/Constants!$C$13</f>
        <v>59.453818827708702</v>
      </c>
      <c r="Q49" s="62">
        <f>L49/Constants!$C$14</f>
        <v>0</v>
      </c>
      <c r="R49" s="104">
        <f>M49/Constants!$C$20</f>
        <v>0.36453909499524273</v>
      </c>
      <c r="S49" s="105">
        <f>N49*Constants!$D$12</f>
        <v>382.02383182283188</v>
      </c>
      <c r="T49" s="105">
        <f>O49*Constants!$D$11</f>
        <v>35.953072366128467</v>
      </c>
      <c r="U49" s="105">
        <f>P49*Constants!$D$13</f>
        <v>178.36145648312612</v>
      </c>
      <c r="V49" s="67">
        <f>Q49*Constants!$D$14</f>
        <v>0</v>
      </c>
      <c r="W49" s="105">
        <f>R49*Constants!$D$20</f>
        <v>6.9262428049096121</v>
      </c>
      <c r="X49" s="105">
        <f t="shared" si="4"/>
        <v>603.26460347699617</v>
      </c>
      <c r="Y49" s="106">
        <f>N49*Constants!$E$12</f>
        <v>1719.1072432027436</v>
      </c>
      <c r="Z49" s="106">
        <f>O49*Constants!$E$11</f>
        <v>161.78882564757811</v>
      </c>
      <c r="AA49" s="106">
        <f>P49*Constants!$E$13</f>
        <v>713.44582593250448</v>
      </c>
      <c r="AB49" s="69">
        <f>Q49*Constants!$E$14</f>
        <v>0</v>
      </c>
      <c r="AC49" s="106">
        <f>R49*Constants!$E$20</f>
        <v>31.350362169590873</v>
      </c>
      <c r="AD49" s="106">
        <f t="shared" si="5"/>
        <v>2625.6922569524168</v>
      </c>
      <c r="AE49" s="114">
        <f>I49*Constants!$I$12</f>
        <v>13766.676923076924</v>
      </c>
      <c r="AF49" s="114">
        <f>J49*Constants!$I$11</f>
        <v>1367.6465116279069</v>
      </c>
      <c r="AG49" s="114">
        <f>K49*Constants!$I$13</f>
        <v>5712.6399999999994</v>
      </c>
      <c r="AH49" s="71">
        <f>L49*Constants!$I$14</f>
        <v>0</v>
      </c>
      <c r="AI49" s="71">
        <f>M49*Constants!$I$20</f>
        <v>250.8</v>
      </c>
      <c r="AJ49" s="114">
        <f t="shared" si="6"/>
        <v>21097.76343470483</v>
      </c>
    </row>
    <row r="50" spans="1:39">
      <c r="A50" s="58">
        <f>Rawdata!Y52</f>
        <v>103.13680555555766</v>
      </c>
      <c r="B50" s="121">
        <v>103.14</v>
      </c>
      <c r="C50">
        <v>20</v>
      </c>
      <c r="D50">
        <v>502.95</v>
      </c>
      <c r="E50">
        <v>42.43</v>
      </c>
      <c r="F50">
        <v>278.08999999999997</v>
      </c>
      <c r="G50">
        <v>0</v>
      </c>
      <c r="H50">
        <v>100</v>
      </c>
      <c r="I50" s="64">
        <f t="shared" si="0"/>
        <v>10059</v>
      </c>
      <c r="J50" s="64">
        <f t="shared" si="1"/>
        <v>848.6</v>
      </c>
      <c r="K50" s="64">
        <f t="shared" si="2"/>
        <v>5561.7999999999993</v>
      </c>
      <c r="L50" s="65">
        <f t="shared" si="3"/>
        <v>0</v>
      </c>
      <c r="M50" s="65">
        <v>100</v>
      </c>
      <c r="N50" s="104">
        <f>I50/Constants!$C$12</f>
        <v>96.62406524213651</v>
      </c>
      <c r="O50" s="104">
        <f>J50/Constants!$C$11</f>
        <v>9.8571262632129173</v>
      </c>
      <c r="P50" s="104">
        <f>K50/Constants!$C$13</f>
        <v>61.742895204262872</v>
      </c>
      <c r="Q50" s="62">
        <f>L50/Constants!$C$14</f>
        <v>0</v>
      </c>
      <c r="R50" s="104">
        <f>M50/Constants!$C$20</f>
        <v>0.36453909499524273</v>
      </c>
      <c r="S50" s="105">
        <f>N50*Constants!$D$12</f>
        <v>386.49626096854604</v>
      </c>
      <c r="T50" s="105">
        <f>O50*Constants!$D$11</f>
        <v>39.428505052851669</v>
      </c>
      <c r="U50" s="105">
        <f>P50*Constants!$D$13</f>
        <v>185.22868561278861</v>
      </c>
      <c r="V50" s="67">
        <f>Q50*Constants!$D$14</f>
        <v>0</v>
      </c>
      <c r="W50" s="105">
        <f>R50*Constants!$D$20</f>
        <v>6.9262428049096121</v>
      </c>
      <c r="X50" s="105">
        <f t="shared" si="4"/>
        <v>618.07969443909599</v>
      </c>
      <c r="Y50" s="106">
        <f>N50*Constants!$E$12</f>
        <v>1739.2331743584573</v>
      </c>
      <c r="Z50" s="106">
        <f>O50*Constants!$E$11</f>
        <v>177.42827273783251</v>
      </c>
      <c r="AA50" s="106">
        <f>P50*Constants!$E$13</f>
        <v>740.91474245115444</v>
      </c>
      <c r="AB50" s="69">
        <f>Q50*Constants!$E$14</f>
        <v>0</v>
      </c>
      <c r="AC50" s="106">
        <f>R50*Constants!$E$20</f>
        <v>31.350362169590873</v>
      </c>
      <c r="AD50" s="106">
        <f t="shared" si="5"/>
        <v>2688.9265517170352</v>
      </c>
      <c r="AE50" s="114">
        <f>I50*Constants!$I$12</f>
        <v>13927.846153846154</v>
      </c>
      <c r="AF50" s="114">
        <f>J50*Constants!$I$11</f>
        <v>1499.8511627906978</v>
      </c>
      <c r="AG50" s="114">
        <f>K50*Constants!$I$13</f>
        <v>5932.5866666666661</v>
      </c>
      <c r="AH50" s="71">
        <f>L50*Constants!$I$14</f>
        <v>0</v>
      </c>
      <c r="AI50" s="71">
        <f>M50*Constants!$I$20</f>
        <v>250.8</v>
      </c>
      <c r="AJ50" s="114">
        <f t="shared" si="6"/>
        <v>21611.083983303517</v>
      </c>
      <c r="AL50" s="58">
        <v>20455</v>
      </c>
    </row>
    <row r="51" spans="1:39">
      <c r="A51" s="58">
        <f>Rawdata!Y53</f>
        <v>105.14166666667006</v>
      </c>
      <c r="C51">
        <v>20</v>
      </c>
      <c r="D51">
        <v>502.95</v>
      </c>
      <c r="E51">
        <v>42.43</v>
      </c>
      <c r="F51">
        <v>278.08999999999997</v>
      </c>
      <c r="G51">
        <v>0</v>
      </c>
      <c r="H51">
        <v>100</v>
      </c>
      <c r="I51" s="64">
        <f t="shared" si="0"/>
        <v>10059</v>
      </c>
      <c r="J51" s="64">
        <f t="shared" si="1"/>
        <v>848.6</v>
      </c>
      <c r="K51" s="64">
        <f t="shared" si="2"/>
        <v>5561.7999999999993</v>
      </c>
      <c r="L51" s="65">
        <f t="shared" si="3"/>
        <v>0</v>
      </c>
      <c r="M51" s="65">
        <v>100</v>
      </c>
      <c r="N51" s="104">
        <f>I51/Constants!$C$12</f>
        <v>96.62406524213651</v>
      </c>
      <c r="O51" s="104">
        <f>J51/Constants!$C$11</f>
        <v>9.8571262632129173</v>
      </c>
      <c r="P51" s="104">
        <f>K51/Constants!$C$13</f>
        <v>61.742895204262872</v>
      </c>
      <c r="Q51" s="62">
        <f>L51/Constants!$C$14</f>
        <v>0</v>
      </c>
      <c r="R51" s="104">
        <f>M51/Constants!$C$20</f>
        <v>0.36453909499524273</v>
      </c>
      <c r="S51" s="105">
        <f>N51*Constants!$D$12</f>
        <v>386.49626096854604</v>
      </c>
      <c r="T51" s="105">
        <f>O51*Constants!$D$11</f>
        <v>39.428505052851669</v>
      </c>
      <c r="U51" s="105">
        <f>P51*Constants!$D$13</f>
        <v>185.22868561278861</v>
      </c>
      <c r="V51" s="67">
        <f>Q51*Constants!$D$14</f>
        <v>0</v>
      </c>
      <c r="W51" s="105">
        <f>R51*Constants!$D$20</f>
        <v>6.9262428049096121</v>
      </c>
      <c r="X51" s="105">
        <f t="shared" si="4"/>
        <v>618.07969443909599</v>
      </c>
      <c r="Y51" s="106">
        <f>N51*Constants!$E$12</f>
        <v>1739.2331743584573</v>
      </c>
      <c r="Z51" s="106">
        <f>O51*Constants!$E$11</f>
        <v>177.42827273783251</v>
      </c>
      <c r="AA51" s="106">
        <f>P51*Constants!$E$13</f>
        <v>740.91474245115444</v>
      </c>
      <c r="AB51" s="69">
        <f>Q51*Constants!$E$14</f>
        <v>0</v>
      </c>
      <c r="AC51" s="106">
        <f>R51*Constants!$E$20</f>
        <v>31.350362169590873</v>
      </c>
      <c r="AD51" s="106">
        <f t="shared" si="5"/>
        <v>2688.9265517170352</v>
      </c>
      <c r="AE51" s="114">
        <f>I51*Constants!$I$12</f>
        <v>13927.846153846154</v>
      </c>
      <c r="AF51" s="114">
        <f>J51*Constants!$I$11</f>
        <v>1499.8511627906978</v>
      </c>
      <c r="AG51" s="114">
        <f>K51*Constants!$I$13</f>
        <v>5932.5866666666661</v>
      </c>
      <c r="AH51" s="71">
        <f>L51*Constants!$I$14</f>
        <v>0</v>
      </c>
      <c r="AI51" s="71">
        <f>M51*Constants!$I$20</f>
        <v>250.8</v>
      </c>
      <c r="AJ51" s="114">
        <f t="shared" si="6"/>
        <v>21611.083983303517</v>
      </c>
    </row>
    <row r="52" spans="1:39">
      <c r="A52" s="58">
        <f>Rawdata!Y54</f>
        <v>107.07916666667006</v>
      </c>
      <c r="C52">
        <v>20</v>
      </c>
      <c r="D52">
        <v>502.95</v>
      </c>
      <c r="E52">
        <v>42.43</v>
      </c>
      <c r="F52">
        <v>278.08999999999997</v>
      </c>
      <c r="G52">
        <v>0</v>
      </c>
      <c r="H52">
        <v>100</v>
      </c>
      <c r="I52" s="64">
        <f t="shared" si="0"/>
        <v>10059</v>
      </c>
      <c r="J52" s="64">
        <f>C52*E52</f>
        <v>848.6</v>
      </c>
      <c r="K52" s="64">
        <f t="shared" si="2"/>
        <v>5561.7999999999993</v>
      </c>
      <c r="L52" s="65">
        <f t="shared" si="3"/>
        <v>0</v>
      </c>
      <c r="M52" s="65">
        <v>100</v>
      </c>
      <c r="N52" s="104">
        <f>I52/Constants!$C$12</f>
        <v>96.62406524213651</v>
      </c>
      <c r="O52" s="104">
        <f>J52/Constants!$C$11</f>
        <v>9.8571262632129173</v>
      </c>
      <c r="P52" s="104">
        <f>K52/Constants!$C$13</f>
        <v>61.742895204262872</v>
      </c>
      <c r="Q52" s="62">
        <f>L52/Constants!$C$14</f>
        <v>0</v>
      </c>
      <c r="R52" s="104">
        <f>M52/Constants!$C$20</f>
        <v>0.36453909499524273</v>
      </c>
      <c r="S52" s="105">
        <f>N52*Constants!$D$12</f>
        <v>386.49626096854604</v>
      </c>
      <c r="T52" s="105">
        <f>O52*Constants!$D$11</f>
        <v>39.428505052851669</v>
      </c>
      <c r="U52" s="105">
        <f>P52*Constants!$D$13</f>
        <v>185.22868561278861</v>
      </c>
      <c r="V52" s="67">
        <f>Q52*Constants!$D$14</f>
        <v>0</v>
      </c>
      <c r="W52" s="105">
        <f>R52*Constants!$D$20</f>
        <v>6.9262428049096121</v>
      </c>
      <c r="X52" s="105">
        <f t="shared" si="4"/>
        <v>618.07969443909599</v>
      </c>
      <c r="Y52" s="106">
        <f>N52*Constants!$E$12</f>
        <v>1739.2331743584573</v>
      </c>
      <c r="Z52" s="106">
        <f>O52*Constants!$E$11</f>
        <v>177.42827273783251</v>
      </c>
      <c r="AA52" s="106">
        <f>P52*Constants!$E$13</f>
        <v>740.91474245115444</v>
      </c>
      <c r="AB52" s="69">
        <f>Q52*Constants!$E$14</f>
        <v>0</v>
      </c>
      <c r="AC52" s="106">
        <f>R52*Constants!$E$20</f>
        <v>31.350362169590873</v>
      </c>
      <c r="AD52" s="106">
        <f t="shared" si="5"/>
        <v>2688.9265517170352</v>
      </c>
      <c r="AE52" s="114">
        <f>I52*Constants!$I$12</f>
        <v>13927.846153846154</v>
      </c>
      <c r="AF52" s="114">
        <f>J52*Constants!$I$11</f>
        <v>1499.8511627906978</v>
      </c>
      <c r="AG52" s="114">
        <f>K52*Constants!$I$13</f>
        <v>5932.5866666666661</v>
      </c>
      <c r="AH52" s="71">
        <f>L52*Constants!$I$14</f>
        <v>0</v>
      </c>
      <c r="AI52" s="71">
        <f>M52*Constants!$I$20</f>
        <v>250.8</v>
      </c>
      <c r="AJ52" s="114">
        <f t="shared" si="6"/>
        <v>21611.083983303517</v>
      </c>
    </row>
    <row r="53" spans="1:39">
      <c r="A53" s="58">
        <f>Rawdata!Y55</f>
        <v>110.29652777777665</v>
      </c>
      <c r="C53">
        <v>20</v>
      </c>
      <c r="D53">
        <v>502.95</v>
      </c>
      <c r="E53">
        <v>42.43</v>
      </c>
      <c r="F53">
        <v>278.08999999999997</v>
      </c>
      <c r="G53">
        <v>0</v>
      </c>
      <c r="H53">
        <v>100</v>
      </c>
      <c r="I53" s="64">
        <f t="shared" si="0"/>
        <v>10059</v>
      </c>
      <c r="J53" s="64">
        <f>C53*E53</f>
        <v>848.6</v>
      </c>
      <c r="K53" s="64">
        <f t="shared" si="2"/>
        <v>5561.7999999999993</v>
      </c>
      <c r="L53" s="65">
        <f t="shared" si="3"/>
        <v>0</v>
      </c>
      <c r="M53" s="65">
        <v>100</v>
      </c>
      <c r="N53" s="104">
        <f>I53/Constants!$C$12</f>
        <v>96.62406524213651</v>
      </c>
      <c r="O53" s="104">
        <f>J53/Constants!$C$11</f>
        <v>9.8571262632129173</v>
      </c>
      <c r="P53" s="104">
        <f>K53/Constants!$C$13</f>
        <v>61.742895204262872</v>
      </c>
      <c r="Q53" s="62">
        <f>L53/Constants!$C$14</f>
        <v>0</v>
      </c>
      <c r="R53" s="104">
        <f>M53/Constants!$C$20</f>
        <v>0.36453909499524273</v>
      </c>
      <c r="S53" s="105">
        <f>N53*Constants!$D$12</f>
        <v>386.49626096854604</v>
      </c>
      <c r="T53" s="105">
        <f>O53*Constants!$D$11</f>
        <v>39.428505052851669</v>
      </c>
      <c r="U53" s="105">
        <f>P53*Constants!$D$13</f>
        <v>185.22868561278861</v>
      </c>
      <c r="V53" s="67">
        <f>Q53*Constants!$D$14</f>
        <v>0</v>
      </c>
      <c r="W53" s="105">
        <f>R53*Constants!$D$20</f>
        <v>6.9262428049096121</v>
      </c>
      <c r="X53" s="105">
        <f t="shared" si="4"/>
        <v>618.07969443909599</v>
      </c>
      <c r="Y53" s="106">
        <f>N53*Constants!$E$12</f>
        <v>1739.2331743584573</v>
      </c>
      <c r="Z53" s="106">
        <f>O53*Constants!$E$11</f>
        <v>177.42827273783251</v>
      </c>
      <c r="AA53" s="106">
        <f>P53*Constants!$E$13</f>
        <v>740.91474245115444</v>
      </c>
      <c r="AB53" s="69">
        <f>Q53*Constants!$E$14</f>
        <v>0</v>
      </c>
      <c r="AC53" s="106">
        <f>R53*Constants!$E$20</f>
        <v>31.350362169590873</v>
      </c>
      <c r="AD53" s="106">
        <f t="shared" si="5"/>
        <v>2688.9265517170352</v>
      </c>
      <c r="AE53" s="114">
        <f>I53*Constants!$I$12</f>
        <v>13927.846153846154</v>
      </c>
      <c r="AF53" s="114">
        <f>J53*Constants!$I$11</f>
        <v>1499.8511627906978</v>
      </c>
      <c r="AG53" s="114">
        <f>K53*Constants!$I$13</f>
        <v>5932.5866666666661</v>
      </c>
      <c r="AH53" s="71">
        <f>L53*Constants!$I$14</f>
        <v>0</v>
      </c>
      <c r="AI53" s="71">
        <f>M53*Constants!$I$20</f>
        <v>250.8</v>
      </c>
      <c r="AJ53" s="114">
        <f t="shared" si="6"/>
        <v>21611.083983303517</v>
      </c>
    </row>
    <row r="54" spans="1:39">
      <c r="A54" s="58">
        <f>Rawdata!Y56</f>
        <v>112.15347222222044</v>
      </c>
      <c r="B54" s="121">
        <v>112.15</v>
      </c>
      <c r="C54">
        <v>20</v>
      </c>
      <c r="D54">
        <v>519.44000000000005</v>
      </c>
      <c r="E54">
        <v>39.19</v>
      </c>
      <c r="F54">
        <v>286.89</v>
      </c>
      <c r="G54">
        <v>0</v>
      </c>
      <c r="H54">
        <v>100</v>
      </c>
      <c r="I54" s="64">
        <f t="shared" si="0"/>
        <v>10388.800000000001</v>
      </c>
      <c r="J54" s="64">
        <f>C54*E54</f>
        <v>783.8</v>
      </c>
      <c r="K54" s="64">
        <f t="shared" si="2"/>
        <v>5737.7999999999993</v>
      </c>
      <c r="L54" s="65">
        <f t="shared" si="3"/>
        <v>0</v>
      </c>
      <c r="M54" s="65">
        <v>100</v>
      </c>
      <c r="N54" s="104">
        <f>I54/Constants!$C$12</f>
        <v>99.792035887017377</v>
      </c>
      <c r="O54" s="104">
        <f>J54/Constants!$C$11</f>
        <v>9.1044256011151106</v>
      </c>
      <c r="P54" s="104">
        <f>K54/Constants!$C$13</f>
        <v>63.696714031971574</v>
      </c>
      <c r="Q54" s="62">
        <f>L54/Constants!$C$14</f>
        <v>0</v>
      </c>
      <c r="R54" s="104">
        <f>M54/Constants!$C$20</f>
        <v>0.36453909499524273</v>
      </c>
      <c r="S54" s="105">
        <f>N54*Constants!$D$12</f>
        <v>399.16814354806951</v>
      </c>
      <c r="T54" s="105">
        <f>O54*Constants!$D$11</f>
        <v>36.417702404460442</v>
      </c>
      <c r="U54" s="105">
        <f>P54*Constants!$D$13</f>
        <v>191.09014209591473</v>
      </c>
      <c r="V54" s="67">
        <f>Q54*Constants!$D$14</f>
        <v>0</v>
      </c>
      <c r="W54" s="105">
        <f>R54*Constants!$D$20</f>
        <v>6.9262428049096121</v>
      </c>
      <c r="X54" s="105">
        <f t="shared" si="4"/>
        <v>633.60223085335429</v>
      </c>
      <c r="Y54" s="106">
        <f>N54*Constants!$E$12</f>
        <v>1796.2566459663128</v>
      </c>
      <c r="Z54" s="106">
        <f>O54*Constants!$E$11</f>
        <v>163.87966082007199</v>
      </c>
      <c r="AA54" s="106">
        <f>P54*Constants!$E$13</f>
        <v>764.36056838365892</v>
      </c>
      <c r="AB54" s="69">
        <f>Q54*Constants!$E$14</f>
        <v>0</v>
      </c>
      <c r="AC54" s="106">
        <f>R54*Constants!$E$20</f>
        <v>31.350362169590873</v>
      </c>
      <c r="AD54" s="106">
        <f t="shared" si="5"/>
        <v>2755.8472373396348</v>
      </c>
      <c r="AE54" s="114">
        <f>I54*Constants!$I$12</f>
        <v>14384.49230769231</v>
      </c>
      <c r="AF54" s="114">
        <f>J54*Constants!$I$11</f>
        <v>1385.3209302325581</v>
      </c>
      <c r="AG54" s="114">
        <f>K54*Constants!$I$13</f>
        <v>6120.3199999999988</v>
      </c>
      <c r="AH54" s="71">
        <f>L54*Constants!$I$14</f>
        <v>0</v>
      </c>
      <c r="AI54" s="71">
        <f>M54*Constants!$I$20</f>
        <v>250.8</v>
      </c>
      <c r="AJ54" s="114">
        <f t="shared" si="6"/>
        <v>22140.933237924866</v>
      </c>
      <c r="AL54" s="58">
        <v>33857.5</v>
      </c>
    </row>
    <row r="55" spans="1:39">
      <c r="A55" s="58">
        <f>Rawdata!Y57</f>
        <v>113.1916666666657</v>
      </c>
      <c r="C55">
        <v>20</v>
      </c>
      <c r="D55">
        <v>519.44000000000005</v>
      </c>
      <c r="E55">
        <v>39.19</v>
      </c>
      <c r="F55">
        <v>286.89</v>
      </c>
      <c r="G55">
        <v>336.82</v>
      </c>
      <c r="H55">
        <v>100</v>
      </c>
      <c r="I55" s="64">
        <f t="shared" si="0"/>
        <v>10388.800000000001</v>
      </c>
      <c r="J55" s="64">
        <f>C55*E55</f>
        <v>783.8</v>
      </c>
      <c r="K55" s="64">
        <f t="shared" si="2"/>
        <v>5737.7999999999993</v>
      </c>
      <c r="L55" s="65">
        <f t="shared" si="3"/>
        <v>6736.4</v>
      </c>
      <c r="M55" s="65">
        <v>100</v>
      </c>
      <c r="N55" s="104">
        <f>I55/Constants!$C$12</f>
        <v>99.792035887017377</v>
      </c>
      <c r="O55" s="104">
        <f>J55/Constants!$C$11</f>
        <v>9.1044256011151106</v>
      </c>
      <c r="P55" s="104">
        <f>K55/Constants!$C$13</f>
        <v>63.696714031971574</v>
      </c>
      <c r="Q55" s="62">
        <f>L55/Constants!$C$14</f>
        <v>146.22731614135625</v>
      </c>
      <c r="R55" s="104">
        <f>M55/Constants!$C$20</f>
        <v>0.36453909499524273</v>
      </c>
      <c r="S55" s="105">
        <f>N55*Constants!$D$12</f>
        <v>399.16814354806951</v>
      </c>
      <c r="T55" s="105">
        <f>O55*Constants!$D$11</f>
        <v>36.417702404460442</v>
      </c>
      <c r="U55" s="105">
        <f>P55*Constants!$D$13</f>
        <v>191.09014209591473</v>
      </c>
      <c r="V55" s="67">
        <f>Q55*Constants!$D$14</f>
        <v>292.45463228271251</v>
      </c>
      <c r="W55" s="105">
        <f>R55*Constants!$D$20</f>
        <v>6.9262428049096121</v>
      </c>
      <c r="X55" s="105">
        <f t="shared" si="4"/>
        <v>926.0568631360668</v>
      </c>
      <c r="Y55" s="106">
        <f>N55*Constants!$E$12</f>
        <v>1796.2566459663128</v>
      </c>
      <c r="Z55" s="106">
        <f>O55*Constants!$E$11</f>
        <v>163.87966082007199</v>
      </c>
      <c r="AA55" s="106">
        <f>P55*Constants!$E$13</f>
        <v>764.36056838365892</v>
      </c>
      <c r="AB55" s="69">
        <f>Q55*Constants!$E$14</f>
        <v>1754.7277936962751</v>
      </c>
      <c r="AC55" s="106">
        <f>R55*Constants!$E$20</f>
        <v>31.350362169590873</v>
      </c>
      <c r="AD55" s="106">
        <f t="shared" si="5"/>
        <v>4510.5750310359099</v>
      </c>
      <c r="AE55" s="114">
        <f>I55*Constants!$I$12</f>
        <v>14384.49230769231</v>
      </c>
      <c r="AF55" s="114">
        <f>J55*Constants!$I$11</f>
        <v>1385.3209302325581</v>
      </c>
      <c r="AG55" s="114">
        <f>K55*Constants!$I$13</f>
        <v>6120.3199999999988</v>
      </c>
      <c r="AH55" s="71">
        <f>L55*Constants!$I$14</f>
        <v>14011.712</v>
      </c>
      <c r="AI55" s="71">
        <f>M55*Constants!$I$20</f>
        <v>250.8</v>
      </c>
      <c r="AJ55" s="114">
        <f t="shared" si="6"/>
        <v>36152.645237924866</v>
      </c>
    </row>
    <row r="56" spans="1:39">
      <c r="A56" s="58">
        <f>Rawdata!Y58</f>
        <v>114.2770833333343</v>
      </c>
      <c r="C56">
        <v>20</v>
      </c>
      <c r="D56">
        <v>519.44000000000005</v>
      </c>
      <c r="E56">
        <v>39.19</v>
      </c>
      <c r="F56">
        <v>286.89</v>
      </c>
      <c r="G56">
        <v>336.82</v>
      </c>
      <c r="H56">
        <v>100</v>
      </c>
      <c r="I56" s="64">
        <f t="shared" si="0"/>
        <v>10388.800000000001</v>
      </c>
      <c r="J56" s="64">
        <f t="shared" si="1"/>
        <v>783.8</v>
      </c>
      <c r="K56" s="64">
        <f t="shared" si="2"/>
        <v>5737.7999999999993</v>
      </c>
      <c r="L56" s="65">
        <f t="shared" si="3"/>
        <v>6736.4</v>
      </c>
      <c r="M56" s="65">
        <v>100</v>
      </c>
      <c r="N56" s="104">
        <f>I56/Constants!$C$12</f>
        <v>99.792035887017377</v>
      </c>
      <c r="O56" s="104">
        <f>J56/Constants!$C$11</f>
        <v>9.1044256011151106</v>
      </c>
      <c r="P56" s="104">
        <f>K56/Constants!$C$13</f>
        <v>63.696714031971574</v>
      </c>
      <c r="Q56" s="104">
        <f>L56/Constants!$C$14</f>
        <v>146.22731614135625</v>
      </c>
      <c r="R56" s="104">
        <f>M56/Constants!$C$20</f>
        <v>0.36453909499524273</v>
      </c>
      <c r="S56" s="105">
        <f>N56*Constants!$D$12</f>
        <v>399.16814354806951</v>
      </c>
      <c r="T56" s="105">
        <f>O56*Constants!$D$11</f>
        <v>36.417702404460442</v>
      </c>
      <c r="U56" s="105">
        <f>P56*Constants!$D$13</f>
        <v>191.09014209591473</v>
      </c>
      <c r="V56" s="105">
        <f>Q56*Constants!$D$14</f>
        <v>292.45463228271251</v>
      </c>
      <c r="W56" s="105">
        <f>R56*Constants!$D$20</f>
        <v>6.9262428049096121</v>
      </c>
      <c r="X56" s="105">
        <f t="shared" si="4"/>
        <v>926.0568631360668</v>
      </c>
      <c r="Y56" s="106">
        <f>N56*Constants!$E$12</f>
        <v>1796.2566459663128</v>
      </c>
      <c r="Z56" s="106">
        <f>O56*Constants!$E$11</f>
        <v>163.87966082007199</v>
      </c>
      <c r="AA56" s="106">
        <f>P56*Constants!$E$13</f>
        <v>764.36056838365892</v>
      </c>
      <c r="AB56" s="106">
        <f>Q56*Constants!$E$14</f>
        <v>1754.7277936962751</v>
      </c>
      <c r="AC56" s="106">
        <f>R56*Constants!$E$20</f>
        <v>31.350362169590873</v>
      </c>
      <c r="AD56" s="106">
        <f t="shared" si="5"/>
        <v>4510.5750310359099</v>
      </c>
      <c r="AE56" s="114">
        <f>I56*Constants!$I$12</f>
        <v>14384.49230769231</v>
      </c>
      <c r="AF56" s="114">
        <f>J56*Constants!$I$11</f>
        <v>1385.3209302325581</v>
      </c>
      <c r="AG56" s="114">
        <f>K56*Constants!$I$13</f>
        <v>6120.3199999999988</v>
      </c>
      <c r="AH56" s="114">
        <f>L56*Constants!$I$14</f>
        <v>14011.712</v>
      </c>
      <c r="AI56" s="71">
        <f>M56*Constants!$I$20</f>
        <v>250.8</v>
      </c>
      <c r="AJ56" s="114">
        <f t="shared" si="6"/>
        <v>36152.645237924866</v>
      </c>
    </row>
    <row r="57" spans="1:39">
      <c r="A57" s="58">
        <f>Rawdata!Y59</f>
        <v>117.28819444444525</v>
      </c>
      <c r="C57">
        <v>20</v>
      </c>
      <c r="D57">
        <v>519.44000000000005</v>
      </c>
      <c r="E57">
        <v>39.19</v>
      </c>
      <c r="F57">
        <v>286.89</v>
      </c>
      <c r="G57">
        <v>336.82</v>
      </c>
      <c r="H57">
        <v>100</v>
      </c>
      <c r="I57" s="64">
        <f t="shared" si="0"/>
        <v>10388.800000000001</v>
      </c>
      <c r="J57" s="64">
        <f t="shared" si="1"/>
        <v>783.8</v>
      </c>
      <c r="K57" s="64">
        <f t="shared" si="2"/>
        <v>5737.7999999999993</v>
      </c>
      <c r="L57" s="65">
        <f t="shared" si="3"/>
        <v>6736.4</v>
      </c>
      <c r="M57" s="65">
        <v>100</v>
      </c>
      <c r="N57" s="104">
        <f>I57/Constants!$C$12</f>
        <v>99.792035887017377</v>
      </c>
      <c r="O57" s="104">
        <f>J57/Constants!$C$11</f>
        <v>9.1044256011151106</v>
      </c>
      <c r="P57" s="104">
        <f>K57/Constants!$C$13</f>
        <v>63.696714031971574</v>
      </c>
      <c r="Q57" s="104">
        <f>L57/Constants!$C$14</f>
        <v>146.22731614135625</v>
      </c>
      <c r="R57" s="104">
        <f>M57/Constants!$C$20</f>
        <v>0.36453909499524273</v>
      </c>
      <c r="S57" s="105">
        <f>N57*Constants!$D$12</f>
        <v>399.16814354806951</v>
      </c>
      <c r="T57" s="105">
        <f>O57*Constants!$D$11</f>
        <v>36.417702404460442</v>
      </c>
      <c r="U57" s="105">
        <f>P57*Constants!$D$13</f>
        <v>191.09014209591473</v>
      </c>
      <c r="V57" s="105">
        <f>Q57*Constants!$D$14</f>
        <v>292.45463228271251</v>
      </c>
      <c r="W57" s="105">
        <f>R57*Constants!$D$20</f>
        <v>6.9262428049096121</v>
      </c>
      <c r="X57" s="105">
        <f t="shared" si="4"/>
        <v>926.0568631360668</v>
      </c>
      <c r="Y57" s="106">
        <f>N57*Constants!$E$12</f>
        <v>1796.2566459663128</v>
      </c>
      <c r="Z57" s="106">
        <f>O57*Constants!$E$11</f>
        <v>163.87966082007199</v>
      </c>
      <c r="AA57" s="106">
        <f>P57*Constants!$E$13</f>
        <v>764.36056838365892</v>
      </c>
      <c r="AB57" s="106">
        <f>Q57*Constants!$E$14</f>
        <v>1754.7277936962751</v>
      </c>
      <c r="AC57" s="106">
        <f>R57*Constants!$E$20</f>
        <v>31.350362169590873</v>
      </c>
      <c r="AD57" s="106">
        <f t="shared" si="5"/>
        <v>4510.5750310359099</v>
      </c>
      <c r="AE57" s="114">
        <f>I57*Constants!$I$12</f>
        <v>14384.49230769231</v>
      </c>
      <c r="AF57" s="114">
        <f>J57*Constants!$I$11</f>
        <v>1385.3209302325581</v>
      </c>
      <c r="AG57" s="114">
        <f>K57*Constants!$I$13</f>
        <v>6120.3199999999988</v>
      </c>
      <c r="AH57" s="114">
        <f>L57*Constants!$I$14</f>
        <v>14011.712</v>
      </c>
      <c r="AI57" s="71">
        <f>M57*Constants!$I$20</f>
        <v>250.8</v>
      </c>
      <c r="AJ57" s="114">
        <f t="shared" si="6"/>
        <v>36152.645237924866</v>
      </c>
      <c r="AL57" s="58"/>
    </row>
    <row r="58" spans="1:39">
      <c r="A58" s="58">
        <f>Rawdata!Y60</f>
        <v>119.18194444444816</v>
      </c>
      <c r="C58">
        <v>20</v>
      </c>
      <c r="D58">
        <v>519.44000000000005</v>
      </c>
      <c r="E58">
        <v>39.19</v>
      </c>
      <c r="F58">
        <v>286.89</v>
      </c>
      <c r="G58">
        <v>336.82</v>
      </c>
      <c r="H58">
        <v>100</v>
      </c>
      <c r="I58" s="64">
        <f t="shared" si="0"/>
        <v>10388.800000000001</v>
      </c>
      <c r="J58" s="64">
        <f t="shared" si="1"/>
        <v>783.8</v>
      </c>
      <c r="K58" s="64">
        <f t="shared" si="2"/>
        <v>5737.7999999999993</v>
      </c>
      <c r="L58" s="65">
        <f t="shared" si="3"/>
        <v>6736.4</v>
      </c>
      <c r="M58" s="65">
        <v>100</v>
      </c>
      <c r="N58" s="104">
        <f>I58/Constants!$C$12</f>
        <v>99.792035887017377</v>
      </c>
      <c r="O58" s="104">
        <f>J58/Constants!$C$11</f>
        <v>9.1044256011151106</v>
      </c>
      <c r="P58" s="104">
        <f>K58/Constants!$C$13</f>
        <v>63.696714031971574</v>
      </c>
      <c r="Q58" s="104">
        <f>L58/Constants!$C$14</f>
        <v>146.22731614135625</v>
      </c>
      <c r="R58" s="104">
        <f>M58/Constants!$C$20</f>
        <v>0.36453909499524273</v>
      </c>
      <c r="S58" s="105">
        <f>N58*Constants!$D$12</f>
        <v>399.16814354806951</v>
      </c>
      <c r="T58" s="105">
        <f>O58*Constants!$D$11</f>
        <v>36.417702404460442</v>
      </c>
      <c r="U58" s="105">
        <f>P58*Constants!$D$13</f>
        <v>191.09014209591473</v>
      </c>
      <c r="V58" s="105">
        <f>Q58*Constants!$D$14</f>
        <v>292.45463228271251</v>
      </c>
      <c r="W58" s="105">
        <f>R58*Constants!$D$20</f>
        <v>6.9262428049096121</v>
      </c>
      <c r="X58" s="105">
        <f t="shared" si="4"/>
        <v>926.0568631360668</v>
      </c>
      <c r="Y58" s="106">
        <f>N58*Constants!$E$12</f>
        <v>1796.2566459663128</v>
      </c>
      <c r="Z58" s="106">
        <f>O58*Constants!$E$11</f>
        <v>163.87966082007199</v>
      </c>
      <c r="AA58" s="106">
        <f>P58*Constants!$E$13</f>
        <v>764.36056838365892</v>
      </c>
      <c r="AB58" s="106">
        <f>Q58*Constants!$E$14</f>
        <v>1754.7277936962751</v>
      </c>
      <c r="AC58" s="106">
        <f>R58*Constants!$E$20</f>
        <v>31.350362169590873</v>
      </c>
      <c r="AD58" s="106">
        <f t="shared" si="5"/>
        <v>4510.5750310359099</v>
      </c>
      <c r="AE58" s="114">
        <f>I58*Constants!$I$12</f>
        <v>14384.49230769231</v>
      </c>
      <c r="AF58" s="114">
        <f>J58*Constants!$I$11</f>
        <v>1385.3209302325581</v>
      </c>
      <c r="AG58" s="114">
        <f>K58*Constants!$I$13</f>
        <v>6120.3199999999988</v>
      </c>
      <c r="AH58" s="114">
        <f>L58*Constants!$I$14</f>
        <v>14011.712</v>
      </c>
      <c r="AI58" s="71">
        <f>M58*Constants!$I$20</f>
        <v>250.8</v>
      </c>
      <c r="AJ58" s="114">
        <f t="shared" si="6"/>
        <v>36152.645237924866</v>
      </c>
    </row>
    <row r="59" spans="1:39">
      <c r="A59" s="58">
        <f>Rawdata!Y61</f>
        <v>121.20138888889051</v>
      </c>
      <c r="B59" s="121">
        <v>121.2</v>
      </c>
      <c r="C59">
        <v>20</v>
      </c>
      <c r="D59">
        <v>491.73</v>
      </c>
      <c r="E59">
        <v>42.28</v>
      </c>
      <c r="F59">
        <v>263.35000000000002</v>
      </c>
      <c r="G59">
        <v>346.63</v>
      </c>
      <c r="H59">
        <v>100</v>
      </c>
      <c r="I59" s="64">
        <f t="shared" si="0"/>
        <v>9834.6</v>
      </c>
      <c r="J59" s="64">
        <f t="shared" si="1"/>
        <v>845.6</v>
      </c>
      <c r="K59" s="64">
        <f t="shared" si="2"/>
        <v>5267</v>
      </c>
      <c r="L59" s="65">
        <f t="shared" si="3"/>
        <v>6932.6</v>
      </c>
      <c r="M59" s="65">
        <v>100</v>
      </c>
      <c r="N59" s="104">
        <f>I59/Constants!$C$12</f>
        <v>94.46853882397015</v>
      </c>
      <c r="O59" s="104">
        <f>J59/Constants!$C$11</f>
        <v>9.8222790103380184</v>
      </c>
      <c r="P59" s="104">
        <f>K59/Constants!$C$13</f>
        <v>58.470248667850804</v>
      </c>
      <c r="Q59" s="104">
        <f>L59/Constants!$C$14</f>
        <v>150.48623773552143</v>
      </c>
      <c r="R59" s="104">
        <f>M59/Constants!$C$20</f>
        <v>0.36453909499524273</v>
      </c>
      <c r="S59" s="105">
        <f>N59*Constants!$D$12</f>
        <v>377.8741552958806</v>
      </c>
      <c r="T59" s="105">
        <f>O59*Constants!$D$11</f>
        <v>39.289116041352074</v>
      </c>
      <c r="U59" s="105">
        <f>P59*Constants!$D$13</f>
        <v>175.41074600355242</v>
      </c>
      <c r="V59" s="105">
        <f>Q59*Constants!$D$14</f>
        <v>300.97247547104286</v>
      </c>
      <c r="W59" s="105">
        <f>R59*Constants!$D$20</f>
        <v>6.9262428049096121</v>
      </c>
      <c r="X59" s="105">
        <f t="shared" si="4"/>
        <v>900.47273561673751</v>
      </c>
      <c r="Y59" s="106">
        <f>N59*Constants!$E$12</f>
        <v>1700.4336988314626</v>
      </c>
      <c r="Z59" s="106">
        <f>O59*Constants!$E$11</f>
        <v>176.80102218608434</v>
      </c>
      <c r="AA59" s="106">
        <f>P59*Constants!$E$13</f>
        <v>701.64298401420967</v>
      </c>
      <c r="AB59" s="106">
        <f>Q59*Constants!$E$14</f>
        <v>1805.8348528262572</v>
      </c>
      <c r="AC59" s="106">
        <f>R59*Constants!$E$20</f>
        <v>31.350362169590873</v>
      </c>
      <c r="AD59" s="106">
        <f t="shared" si="5"/>
        <v>4416.0629200276053</v>
      </c>
      <c r="AE59" s="114">
        <f>I59*Constants!$I$12</f>
        <v>13617.138461538461</v>
      </c>
      <c r="AF59" s="114">
        <f>J59*Constants!$I$11</f>
        <v>1494.5488372093023</v>
      </c>
      <c r="AG59" s="114">
        <f>K59*Constants!$I$13</f>
        <v>5618.1333333333332</v>
      </c>
      <c r="AH59" s="114">
        <f>L59*Constants!$I$14</f>
        <v>14419.808000000001</v>
      </c>
      <c r="AI59" s="71">
        <f>M59*Constants!$I$20</f>
        <v>250.8</v>
      </c>
      <c r="AJ59" s="114">
        <f t="shared" si="6"/>
        <v>35400.428632081101</v>
      </c>
      <c r="AL59" s="58">
        <v>34332.5</v>
      </c>
      <c r="AM59" s="58"/>
    </row>
    <row r="60" spans="1:39">
      <c r="A60" s="58">
        <f>Rawdata!Y62</f>
        <v>124.17569444444234</v>
      </c>
      <c r="C60">
        <v>20</v>
      </c>
      <c r="D60">
        <v>491.73</v>
      </c>
      <c r="E60">
        <v>42.28</v>
      </c>
      <c r="F60">
        <v>263.35000000000002</v>
      </c>
      <c r="G60">
        <v>346.63</v>
      </c>
      <c r="H60">
        <v>100</v>
      </c>
      <c r="I60" s="64">
        <f t="shared" si="0"/>
        <v>9834.6</v>
      </c>
      <c r="J60" s="64">
        <f t="shared" si="1"/>
        <v>845.6</v>
      </c>
      <c r="K60" s="64">
        <f t="shared" si="2"/>
        <v>5267</v>
      </c>
      <c r="L60" s="65">
        <f t="shared" si="3"/>
        <v>6932.6</v>
      </c>
      <c r="M60" s="65">
        <v>100</v>
      </c>
      <c r="N60" s="104">
        <f>I60/Constants!$C$12</f>
        <v>94.46853882397015</v>
      </c>
      <c r="O60" s="104">
        <f>J60/Constants!$C$11</f>
        <v>9.8222790103380184</v>
      </c>
      <c r="P60" s="104">
        <f>K60/Constants!$C$13</f>
        <v>58.470248667850804</v>
      </c>
      <c r="Q60" s="104">
        <f>L60/Constants!$C$14</f>
        <v>150.48623773552143</v>
      </c>
      <c r="R60" s="104">
        <f>M60/Constants!$C$20</f>
        <v>0.36453909499524273</v>
      </c>
      <c r="S60" s="105">
        <f>N60*Constants!$D$12</f>
        <v>377.8741552958806</v>
      </c>
      <c r="T60" s="105">
        <f>O60*Constants!$D$11</f>
        <v>39.289116041352074</v>
      </c>
      <c r="U60" s="105">
        <f>P60*Constants!$D$13</f>
        <v>175.41074600355242</v>
      </c>
      <c r="V60" s="105">
        <f>Q60*Constants!$D$14</f>
        <v>300.97247547104286</v>
      </c>
      <c r="W60" s="105">
        <f>R60*Constants!$D$20</f>
        <v>6.9262428049096121</v>
      </c>
      <c r="X60" s="105">
        <f t="shared" si="4"/>
        <v>900.47273561673751</v>
      </c>
      <c r="Y60" s="106">
        <f>N60*Constants!$E$12</f>
        <v>1700.4336988314626</v>
      </c>
      <c r="Z60" s="106">
        <f>O60*Constants!$E$11</f>
        <v>176.80102218608434</v>
      </c>
      <c r="AA60" s="106">
        <f>P60*Constants!$E$13</f>
        <v>701.64298401420967</v>
      </c>
      <c r="AB60" s="106">
        <f>Q60*Constants!$E$14</f>
        <v>1805.8348528262572</v>
      </c>
      <c r="AC60" s="106">
        <f>R60*Constants!$E$20</f>
        <v>31.350362169590873</v>
      </c>
      <c r="AD60" s="106">
        <f t="shared" si="5"/>
        <v>4416.0629200276053</v>
      </c>
      <c r="AE60" s="114">
        <f>I60*Constants!$I$12</f>
        <v>13617.138461538461</v>
      </c>
      <c r="AF60" s="114">
        <f>J60*Constants!$I$11</f>
        <v>1494.5488372093023</v>
      </c>
      <c r="AG60" s="114">
        <f>K60*Constants!$I$13</f>
        <v>5618.1333333333332</v>
      </c>
      <c r="AH60" s="114">
        <f>L60*Constants!$I$14</f>
        <v>14419.808000000001</v>
      </c>
      <c r="AI60" s="71">
        <f>M60*Constants!$I$20</f>
        <v>250.8</v>
      </c>
      <c r="AJ60" s="114">
        <f t="shared" si="6"/>
        <v>35400.428632081101</v>
      </c>
    </row>
    <row r="61" spans="1:39">
      <c r="A61" s="58">
        <f>Rawdata!Y63</f>
        <v>126.16180555555911</v>
      </c>
      <c r="C61">
        <v>20</v>
      </c>
      <c r="D61">
        <v>491.73</v>
      </c>
      <c r="E61">
        <v>42.28</v>
      </c>
      <c r="F61">
        <v>263.35000000000002</v>
      </c>
      <c r="G61">
        <v>346.63</v>
      </c>
      <c r="H61">
        <v>100</v>
      </c>
      <c r="I61" s="64">
        <f t="shared" si="0"/>
        <v>9834.6</v>
      </c>
      <c r="J61" s="64">
        <f t="shared" si="1"/>
        <v>845.6</v>
      </c>
      <c r="K61" s="64">
        <f t="shared" si="2"/>
        <v>5267</v>
      </c>
      <c r="L61" s="65">
        <f t="shared" si="3"/>
        <v>6932.6</v>
      </c>
      <c r="M61" s="65">
        <v>100</v>
      </c>
      <c r="N61" s="104">
        <f>I61/Constants!$C$12</f>
        <v>94.46853882397015</v>
      </c>
      <c r="O61" s="104">
        <f>J61/Constants!$C$11</f>
        <v>9.8222790103380184</v>
      </c>
      <c r="P61" s="104">
        <f>K61/Constants!$C$13</f>
        <v>58.470248667850804</v>
      </c>
      <c r="Q61" s="104">
        <f>L61/Constants!$C$14</f>
        <v>150.48623773552143</v>
      </c>
      <c r="R61" s="104">
        <f>M61/Constants!$C$20</f>
        <v>0.36453909499524273</v>
      </c>
      <c r="S61" s="105">
        <f>N61*Constants!$D$12</f>
        <v>377.8741552958806</v>
      </c>
      <c r="T61" s="105">
        <f>O61*Constants!$D$11</f>
        <v>39.289116041352074</v>
      </c>
      <c r="U61" s="105">
        <f>P61*Constants!$D$13</f>
        <v>175.41074600355242</v>
      </c>
      <c r="V61" s="105">
        <f>Q61*Constants!$D$14</f>
        <v>300.97247547104286</v>
      </c>
      <c r="W61" s="105">
        <f>R61*Constants!$D$20</f>
        <v>6.9262428049096121</v>
      </c>
      <c r="X61" s="105">
        <f t="shared" si="4"/>
        <v>900.47273561673751</v>
      </c>
      <c r="Y61" s="106">
        <f>N61*Constants!$E$12</f>
        <v>1700.4336988314626</v>
      </c>
      <c r="Z61" s="106">
        <f>O61*Constants!$E$11</f>
        <v>176.80102218608434</v>
      </c>
      <c r="AA61" s="106">
        <f>P61*Constants!$E$13</f>
        <v>701.64298401420967</v>
      </c>
      <c r="AB61" s="106">
        <f>Q61*Constants!$E$14</f>
        <v>1805.8348528262572</v>
      </c>
      <c r="AC61" s="106">
        <f>R61*Constants!$E$20</f>
        <v>31.350362169590873</v>
      </c>
      <c r="AD61" s="106">
        <f t="shared" si="5"/>
        <v>4416.0629200276053</v>
      </c>
      <c r="AE61" s="114">
        <f>I61*Constants!$I$12</f>
        <v>13617.138461538461</v>
      </c>
      <c r="AF61" s="114">
        <f>J61*Constants!$I$11</f>
        <v>1494.5488372093023</v>
      </c>
      <c r="AG61" s="114">
        <f>K61*Constants!$I$13</f>
        <v>5618.1333333333332</v>
      </c>
      <c r="AH61" s="114">
        <f>L61*Constants!$I$14</f>
        <v>14419.808000000001</v>
      </c>
      <c r="AI61" s="71">
        <f>M61*Constants!$I$20</f>
        <v>250.8</v>
      </c>
      <c r="AJ61" s="114">
        <f t="shared" si="6"/>
        <v>35400.428632081101</v>
      </c>
      <c r="AL61" s="58"/>
    </row>
    <row r="62" spans="1:39">
      <c r="A62" s="58">
        <f>Rawdata!Y64</f>
        <v>128.18472222222044</v>
      </c>
      <c r="C62">
        <v>20</v>
      </c>
      <c r="D62">
        <v>491.73</v>
      </c>
      <c r="E62">
        <v>42.28</v>
      </c>
      <c r="F62">
        <v>263.35000000000002</v>
      </c>
      <c r="G62">
        <v>346.63</v>
      </c>
      <c r="H62">
        <v>100</v>
      </c>
      <c r="I62" s="64">
        <f t="shared" si="0"/>
        <v>9834.6</v>
      </c>
      <c r="J62" s="64">
        <f t="shared" si="1"/>
        <v>845.6</v>
      </c>
      <c r="K62" s="64">
        <f t="shared" si="2"/>
        <v>5267</v>
      </c>
      <c r="L62" s="65">
        <f t="shared" si="3"/>
        <v>6932.6</v>
      </c>
      <c r="M62" s="65">
        <v>100</v>
      </c>
      <c r="N62" s="104">
        <f>I62/Constants!$C$12</f>
        <v>94.46853882397015</v>
      </c>
      <c r="O62" s="104">
        <f>J62/Constants!$C$11</f>
        <v>9.8222790103380184</v>
      </c>
      <c r="P62" s="104">
        <f>K62/Constants!$C$13</f>
        <v>58.470248667850804</v>
      </c>
      <c r="Q62" s="104">
        <f>L62/Constants!$C$14</f>
        <v>150.48623773552143</v>
      </c>
      <c r="R62" s="104">
        <f>M62/Constants!$C$20</f>
        <v>0.36453909499524273</v>
      </c>
      <c r="S62" s="105">
        <f>N62*Constants!$D$12</f>
        <v>377.8741552958806</v>
      </c>
      <c r="T62" s="105">
        <f>O62*Constants!$D$11</f>
        <v>39.289116041352074</v>
      </c>
      <c r="U62" s="105">
        <f>P62*Constants!$D$13</f>
        <v>175.41074600355242</v>
      </c>
      <c r="V62" s="105">
        <f>Q62*Constants!$D$14</f>
        <v>300.97247547104286</v>
      </c>
      <c r="W62" s="105">
        <f>R62*Constants!$D$20</f>
        <v>6.9262428049096121</v>
      </c>
      <c r="X62" s="105">
        <f t="shared" si="4"/>
        <v>900.47273561673751</v>
      </c>
      <c r="Y62" s="106">
        <f>N62*Constants!$E$12</f>
        <v>1700.4336988314626</v>
      </c>
      <c r="Z62" s="106">
        <f>O62*Constants!$E$11</f>
        <v>176.80102218608434</v>
      </c>
      <c r="AA62" s="106">
        <f>P62*Constants!$E$13</f>
        <v>701.64298401420967</v>
      </c>
      <c r="AB62" s="106">
        <f>Q62*Constants!$E$14</f>
        <v>1805.8348528262572</v>
      </c>
      <c r="AC62" s="106">
        <f>R62*Constants!$E$20</f>
        <v>31.350362169590873</v>
      </c>
      <c r="AD62" s="106">
        <f t="shared" si="5"/>
        <v>4416.0629200276053</v>
      </c>
      <c r="AE62" s="114">
        <f>I62*Constants!$I$12</f>
        <v>13617.138461538461</v>
      </c>
      <c r="AF62" s="114">
        <f>J62*Constants!$I$11</f>
        <v>1494.5488372093023</v>
      </c>
      <c r="AG62" s="114">
        <f>K62*Constants!$I$13</f>
        <v>5618.1333333333332</v>
      </c>
      <c r="AH62" s="114">
        <f>L62*Constants!$I$14</f>
        <v>14419.808000000001</v>
      </c>
      <c r="AI62" s="71">
        <f>M62*Constants!$I$20</f>
        <v>250.8</v>
      </c>
      <c r="AJ62" s="114">
        <f t="shared" si="6"/>
        <v>35400.428632081101</v>
      </c>
      <c r="AL62" s="58"/>
    </row>
    <row r="63" spans="1:39">
      <c r="A63" s="58">
        <f>Rawdata!Y65</f>
        <v>131.17083333333721</v>
      </c>
      <c r="C63">
        <v>20</v>
      </c>
      <c r="D63">
        <v>491.73</v>
      </c>
      <c r="E63">
        <v>42.28</v>
      </c>
      <c r="F63">
        <v>263.35000000000002</v>
      </c>
      <c r="G63">
        <v>346.63</v>
      </c>
      <c r="H63">
        <v>100</v>
      </c>
      <c r="I63" s="64">
        <f t="shared" si="0"/>
        <v>9834.6</v>
      </c>
      <c r="J63" s="64">
        <f t="shared" si="1"/>
        <v>845.6</v>
      </c>
      <c r="K63" s="64">
        <f t="shared" si="2"/>
        <v>5267</v>
      </c>
      <c r="L63" s="65">
        <f t="shared" si="3"/>
        <v>6932.6</v>
      </c>
      <c r="M63" s="65">
        <v>100</v>
      </c>
      <c r="N63" s="104">
        <f>I63/Constants!$C$12</f>
        <v>94.46853882397015</v>
      </c>
      <c r="O63" s="104">
        <f>J63/Constants!$C$11</f>
        <v>9.8222790103380184</v>
      </c>
      <c r="P63" s="104">
        <f>K63/Constants!$C$13</f>
        <v>58.470248667850804</v>
      </c>
      <c r="Q63" s="104">
        <f>L63/Constants!$C$14</f>
        <v>150.48623773552143</v>
      </c>
      <c r="R63" s="104">
        <f>M63/Constants!$C$20</f>
        <v>0.36453909499524273</v>
      </c>
      <c r="S63" s="105">
        <f>N63*Constants!$D$12</f>
        <v>377.8741552958806</v>
      </c>
      <c r="T63" s="105">
        <f>O63*Constants!$D$11</f>
        <v>39.289116041352074</v>
      </c>
      <c r="U63" s="105">
        <f>P63*Constants!$D$13</f>
        <v>175.41074600355242</v>
      </c>
      <c r="V63" s="105">
        <f>Q63*Constants!$D$14</f>
        <v>300.97247547104286</v>
      </c>
      <c r="W63" s="105">
        <f>R63*Constants!$D$20</f>
        <v>6.9262428049096121</v>
      </c>
      <c r="X63" s="105">
        <f t="shared" si="4"/>
        <v>900.47273561673751</v>
      </c>
      <c r="Y63" s="106">
        <f>N63*Constants!$E$12</f>
        <v>1700.4336988314626</v>
      </c>
      <c r="Z63" s="106">
        <f>O63*Constants!$E$11</f>
        <v>176.80102218608434</v>
      </c>
      <c r="AA63" s="106">
        <f>P63*Constants!$E$13</f>
        <v>701.64298401420967</v>
      </c>
      <c r="AB63" s="106">
        <f>Q63*Constants!$E$14</f>
        <v>1805.8348528262572</v>
      </c>
      <c r="AC63" s="106">
        <f>R63*Constants!$E$20</f>
        <v>31.350362169590873</v>
      </c>
      <c r="AD63" s="106">
        <f t="shared" si="5"/>
        <v>4416.0629200276053</v>
      </c>
      <c r="AE63" s="114">
        <f>I63*Constants!$I$12</f>
        <v>13617.138461538461</v>
      </c>
      <c r="AF63" s="114">
        <f>J63*Constants!$I$11</f>
        <v>1494.5488372093023</v>
      </c>
      <c r="AG63" s="114">
        <f>K63*Constants!$I$13</f>
        <v>5618.1333333333332</v>
      </c>
      <c r="AH63" s="114">
        <f>L63*Constants!$I$14</f>
        <v>14419.808000000001</v>
      </c>
      <c r="AI63" s="71">
        <f>M63*Constants!$I$20</f>
        <v>250.8</v>
      </c>
      <c r="AJ63" s="114">
        <f t="shared" si="6"/>
        <v>35400.428632081101</v>
      </c>
      <c r="AL63" s="58"/>
    </row>
    <row r="64" spans="1:39">
      <c r="A64" s="58">
        <f>Rawdata!Y66</f>
        <v>132.02500000000146</v>
      </c>
      <c r="C64">
        <v>20</v>
      </c>
      <c r="D64">
        <v>491.73</v>
      </c>
      <c r="E64">
        <v>42.28</v>
      </c>
      <c r="F64">
        <v>263.35000000000002</v>
      </c>
      <c r="G64">
        <v>346.63</v>
      </c>
      <c r="H64">
        <v>100</v>
      </c>
      <c r="I64" s="64">
        <f t="shared" si="0"/>
        <v>9834.6</v>
      </c>
      <c r="J64" s="64">
        <f t="shared" si="1"/>
        <v>845.6</v>
      </c>
      <c r="K64" s="64">
        <f t="shared" si="2"/>
        <v>5267</v>
      </c>
      <c r="L64" s="65">
        <f t="shared" si="3"/>
        <v>6932.6</v>
      </c>
      <c r="M64" s="65">
        <v>100</v>
      </c>
      <c r="N64" s="104">
        <f>I64/Constants!$C$12</f>
        <v>94.46853882397015</v>
      </c>
      <c r="O64" s="104">
        <f>J64/Constants!$C$11</f>
        <v>9.8222790103380184</v>
      </c>
      <c r="P64" s="104">
        <f>K64/Constants!$C$13</f>
        <v>58.470248667850804</v>
      </c>
      <c r="Q64" s="104">
        <f>L64/Constants!$C$14</f>
        <v>150.48623773552143</v>
      </c>
      <c r="R64" s="104">
        <f>M64/Constants!$C$20</f>
        <v>0.36453909499524273</v>
      </c>
      <c r="S64" s="105">
        <f>N64*Constants!$D$12</f>
        <v>377.8741552958806</v>
      </c>
      <c r="T64" s="105">
        <f>O64*Constants!$D$11</f>
        <v>39.289116041352074</v>
      </c>
      <c r="U64" s="105">
        <f>P64*Constants!$D$13</f>
        <v>175.41074600355242</v>
      </c>
      <c r="V64" s="105">
        <f>Q64*Constants!$D$14</f>
        <v>300.97247547104286</v>
      </c>
      <c r="W64" s="105">
        <f>R64*Constants!$D$20</f>
        <v>6.9262428049096121</v>
      </c>
      <c r="X64" s="105">
        <f t="shared" si="4"/>
        <v>900.47273561673751</v>
      </c>
      <c r="Y64" s="106">
        <f>N64*Constants!$E$12</f>
        <v>1700.4336988314626</v>
      </c>
      <c r="Z64" s="106">
        <f>O64*Constants!$E$11</f>
        <v>176.80102218608434</v>
      </c>
      <c r="AA64" s="106">
        <f>P64*Constants!$E$13</f>
        <v>701.64298401420967</v>
      </c>
      <c r="AB64" s="106">
        <f>Q64*Constants!$E$14</f>
        <v>1805.8348528262572</v>
      </c>
      <c r="AC64" s="106">
        <f>R64*Constants!$E$20</f>
        <v>31.350362169590873</v>
      </c>
      <c r="AD64" s="106">
        <f t="shared" si="5"/>
        <v>4416.0629200276053</v>
      </c>
      <c r="AE64" s="114">
        <f>I64*Constants!$I$12</f>
        <v>13617.138461538461</v>
      </c>
      <c r="AF64" s="114">
        <f>J64*Constants!$I$11</f>
        <v>1494.5488372093023</v>
      </c>
      <c r="AG64" s="114">
        <f>K64*Constants!$I$13</f>
        <v>5618.1333333333332</v>
      </c>
      <c r="AH64" s="114">
        <f>L64*Constants!$I$14</f>
        <v>14419.808000000001</v>
      </c>
      <c r="AI64" s="71">
        <f>M64*Constants!$I$20</f>
        <v>250.8</v>
      </c>
      <c r="AJ64" s="114">
        <f t="shared" si="6"/>
        <v>35400.428632081101</v>
      </c>
      <c r="AL64" s="58"/>
    </row>
    <row r="65" spans="38:38">
      <c r="AL65" s="5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64"/>
  <sheetViews>
    <sheetView zoomScale="95" zoomScaleNormal="95" workbookViewId="0">
      <pane xSplit="1" ySplit="3" topLeftCell="X4" activePane="bottomRight" state="frozen"/>
      <selection pane="topRight" activeCell="B1" sqref="B1"/>
      <selection pane="bottomLeft" activeCell="A4" sqref="A4"/>
      <selection pane="bottomRight" activeCell="AB10" sqref="AB10"/>
    </sheetView>
  </sheetViews>
  <sheetFormatPr defaultRowHeight="15"/>
  <cols>
    <col min="1" max="1" width="10.5703125" bestFit="1" customWidth="1"/>
    <col min="2" max="2" width="10.5703125" customWidth="1"/>
    <col min="29" max="51" width="11" bestFit="1" customWidth="1"/>
  </cols>
  <sheetData>
    <row r="1" spans="1:71">
      <c r="C1" t="s">
        <v>189</v>
      </c>
      <c r="N1" s="64" t="s">
        <v>190</v>
      </c>
      <c r="O1" s="64"/>
      <c r="P1" s="64"/>
      <c r="Q1" s="64"/>
      <c r="R1" s="64"/>
      <c r="S1" s="64"/>
      <c r="T1" s="64"/>
      <c r="U1" s="64"/>
      <c r="V1" s="64"/>
      <c r="W1" s="64"/>
      <c r="X1" s="64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6" t="s">
        <v>201</v>
      </c>
      <c r="BI1" s="76"/>
      <c r="BJ1" s="76"/>
      <c r="BK1" s="76"/>
      <c r="BL1" s="76"/>
      <c r="BM1" s="76"/>
      <c r="BN1" s="76"/>
      <c r="BO1" s="76"/>
      <c r="BP1" s="72"/>
      <c r="BQ1" s="72"/>
      <c r="BR1" s="72"/>
      <c r="BS1" s="71"/>
    </row>
    <row r="2" spans="1:71">
      <c r="B2" t="s">
        <v>187</v>
      </c>
      <c r="C2" t="s">
        <v>177</v>
      </c>
      <c r="D2" t="s">
        <v>177</v>
      </c>
      <c r="E2" t="s">
        <v>177</v>
      </c>
      <c r="F2" t="s">
        <v>177</v>
      </c>
      <c r="G2" t="s">
        <v>177</v>
      </c>
      <c r="H2" t="s">
        <v>177</v>
      </c>
      <c r="I2" t="s">
        <v>177</v>
      </c>
      <c r="J2" t="s">
        <v>177</v>
      </c>
      <c r="K2" t="s">
        <v>177</v>
      </c>
      <c r="L2" t="s">
        <v>177</v>
      </c>
      <c r="M2" t="s">
        <v>177</v>
      </c>
      <c r="N2" s="64" t="s">
        <v>177</v>
      </c>
      <c r="O2" s="64" t="s">
        <v>177</v>
      </c>
      <c r="P2" s="64" t="s">
        <v>177</v>
      </c>
      <c r="Q2" s="64" t="s">
        <v>177</v>
      </c>
      <c r="R2" s="64" t="s">
        <v>177</v>
      </c>
      <c r="S2" s="64" t="s">
        <v>177</v>
      </c>
      <c r="T2" s="64" t="s">
        <v>177</v>
      </c>
      <c r="U2" s="64" t="s">
        <v>177</v>
      </c>
      <c r="V2" s="64" t="s">
        <v>177</v>
      </c>
      <c r="W2" s="64" t="s">
        <v>177</v>
      </c>
      <c r="X2" s="64" t="s">
        <v>177</v>
      </c>
      <c r="Y2" s="61" t="s">
        <v>197</v>
      </c>
      <c r="Z2" s="61" t="s">
        <v>197</v>
      </c>
      <c r="AA2" s="61" t="s">
        <v>197</v>
      </c>
      <c r="AB2" s="61" t="s">
        <v>197</v>
      </c>
      <c r="AC2" s="61" t="s">
        <v>197</v>
      </c>
      <c r="AD2" s="61" t="s">
        <v>197</v>
      </c>
      <c r="AE2" s="61" t="s">
        <v>197</v>
      </c>
      <c r="AF2" s="61" t="s">
        <v>197</v>
      </c>
      <c r="AG2" s="61" t="s">
        <v>197</v>
      </c>
      <c r="AH2" s="61" t="s">
        <v>197</v>
      </c>
      <c r="AI2" s="61" t="s">
        <v>197</v>
      </c>
      <c r="AJ2" s="73" t="s">
        <v>195</v>
      </c>
      <c r="AK2" s="73" t="s">
        <v>195</v>
      </c>
      <c r="AL2" s="73" t="s">
        <v>195</v>
      </c>
      <c r="AM2" s="73" t="s">
        <v>195</v>
      </c>
      <c r="AN2" s="73" t="s">
        <v>195</v>
      </c>
      <c r="AO2" s="73" t="s">
        <v>195</v>
      </c>
      <c r="AP2" s="73" t="s">
        <v>195</v>
      </c>
      <c r="AQ2" s="73" t="s">
        <v>195</v>
      </c>
      <c r="AR2" s="73" t="s">
        <v>195</v>
      </c>
      <c r="AS2" s="73" t="s">
        <v>195</v>
      </c>
      <c r="AT2" s="73" t="s">
        <v>195</v>
      </c>
      <c r="AU2" s="73" t="s">
        <v>195</v>
      </c>
      <c r="AV2" s="74" t="s">
        <v>199</v>
      </c>
      <c r="AW2" s="74" t="s">
        <v>199</v>
      </c>
      <c r="AX2" s="74" t="s">
        <v>199</v>
      </c>
      <c r="AY2" s="74" t="s">
        <v>199</v>
      </c>
      <c r="AZ2" s="74" t="s">
        <v>199</v>
      </c>
      <c r="BA2" s="74" t="s">
        <v>199</v>
      </c>
      <c r="BB2" s="74" t="s">
        <v>199</v>
      </c>
      <c r="BC2" s="74" t="s">
        <v>199</v>
      </c>
      <c r="BD2" s="74" t="s">
        <v>199</v>
      </c>
      <c r="BE2" s="74" t="s">
        <v>199</v>
      </c>
      <c r="BF2" s="74" t="s">
        <v>199</v>
      </c>
      <c r="BG2" s="74" t="s">
        <v>199</v>
      </c>
      <c r="BH2" s="76" t="s">
        <v>200</v>
      </c>
      <c r="BI2" s="76" t="s">
        <v>200</v>
      </c>
      <c r="BJ2" s="76" t="s">
        <v>200</v>
      </c>
      <c r="BK2" s="76" t="s">
        <v>200</v>
      </c>
      <c r="BL2" s="76" t="s">
        <v>200</v>
      </c>
      <c r="BM2" s="76" t="s">
        <v>200</v>
      </c>
      <c r="BN2" s="76" t="s">
        <v>200</v>
      </c>
      <c r="BO2" s="76" t="s">
        <v>200</v>
      </c>
      <c r="BP2" s="76" t="s">
        <v>200</v>
      </c>
      <c r="BQ2" s="76" t="s">
        <v>200</v>
      </c>
      <c r="BR2" s="76" t="s">
        <v>200</v>
      </c>
      <c r="BS2" s="76" t="s">
        <v>200</v>
      </c>
    </row>
    <row r="3" spans="1:71">
      <c r="A3" t="s">
        <v>176</v>
      </c>
      <c r="B3" t="s">
        <v>186</v>
      </c>
      <c r="C3" t="s">
        <v>178</v>
      </c>
      <c r="D3" t="s">
        <v>179</v>
      </c>
      <c r="E3" t="s">
        <v>180</v>
      </c>
      <c r="F3" t="s">
        <v>181</v>
      </c>
      <c r="G3" t="s">
        <v>182</v>
      </c>
      <c r="H3" t="s">
        <v>183</v>
      </c>
      <c r="I3" t="s">
        <v>184</v>
      </c>
      <c r="J3" t="s">
        <v>185</v>
      </c>
      <c r="K3" t="s">
        <v>191</v>
      </c>
      <c r="L3" t="s">
        <v>192</v>
      </c>
      <c r="M3" t="s">
        <v>202</v>
      </c>
      <c r="N3" s="64" t="s">
        <v>178</v>
      </c>
      <c r="O3" s="64" t="s">
        <v>179</v>
      </c>
      <c r="P3" s="64" t="s">
        <v>180</v>
      </c>
      <c r="Q3" s="64" t="s">
        <v>181</v>
      </c>
      <c r="R3" s="64" t="s">
        <v>182</v>
      </c>
      <c r="S3" s="64" t="s">
        <v>183</v>
      </c>
      <c r="T3" s="64" t="s">
        <v>184</v>
      </c>
      <c r="U3" s="64" t="s">
        <v>185</v>
      </c>
      <c r="V3" s="64" t="s">
        <v>191</v>
      </c>
      <c r="W3" s="64" t="s">
        <v>192</v>
      </c>
      <c r="X3" s="64" t="s">
        <v>202</v>
      </c>
      <c r="Y3" s="61" t="s">
        <v>178</v>
      </c>
      <c r="Z3" s="61" t="s">
        <v>179</v>
      </c>
      <c r="AA3" s="61" t="s">
        <v>180</v>
      </c>
      <c r="AB3" s="61" t="s">
        <v>181</v>
      </c>
      <c r="AC3" s="61" t="s">
        <v>182</v>
      </c>
      <c r="AD3" s="61" t="s">
        <v>183</v>
      </c>
      <c r="AE3" s="61" t="s">
        <v>184</v>
      </c>
      <c r="AF3" s="61" t="s">
        <v>185</v>
      </c>
      <c r="AG3" s="61" t="s">
        <v>191</v>
      </c>
      <c r="AH3" s="61" t="s">
        <v>192</v>
      </c>
      <c r="AI3" s="61" t="s">
        <v>202</v>
      </c>
      <c r="AJ3" s="73" t="s">
        <v>178</v>
      </c>
      <c r="AK3" s="73" t="s">
        <v>179</v>
      </c>
      <c r="AL3" s="73" t="s">
        <v>180</v>
      </c>
      <c r="AM3" s="73" t="s">
        <v>181</v>
      </c>
      <c r="AN3" s="73" t="s">
        <v>182</v>
      </c>
      <c r="AO3" s="73" t="s">
        <v>183</v>
      </c>
      <c r="AP3" s="73" t="s">
        <v>184</v>
      </c>
      <c r="AQ3" s="73" t="s">
        <v>185</v>
      </c>
      <c r="AR3" s="73" t="s">
        <v>191</v>
      </c>
      <c r="AS3" s="73" t="s">
        <v>192</v>
      </c>
      <c r="AT3" s="73" t="s">
        <v>202</v>
      </c>
      <c r="AU3" s="73" t="s">
        <v>198</v>
      </c>
      <c r="AV3" s="74" t="s">
        <v>178</v>
      </c>
      <c r="AW3" s="74" t="s">
        <v>179</v>
      </c>
      <c r="AX3" s="74" t="s">
        <v>180</v>
      </c>
      <c r="AY3" s="74" t="s">
        <v>181</v>
      </c>
      <c r="AZ3" s="74" t="s">
        <v>182</v>
      </c>
      <c r="BA3" s="74" t="s">
        <v>183</v>
      </c>
      <c r="BB3" s="74" t="s">
        <v>184</v>
      </c>
      <c r="BC3" s="74" t="s">
        <v>185</v>
      </c>
      <c r="BD3" s="74" t="s">
        <v>191</v>
      </c>
      <c r="BE3" s="74" t="s">
        <v>192</v>
      </c>
      <c r="BF3" s="74" t="s">
        <v>202</v>
      </c>
      <c r="BG3" s="74" t="s">
        <v>198</v>
      </c>
      <c r="BH3" s="76" t="s">
        <v>178</v>
      </c>
      <c r="BI3" s="76" t="s">
        <v>179</v>
      </c>
      <c r="BJ3" s="76" t="s">
        <v>180</v>
      </c>
      <c r="BK3" s="76" t="s">
        <v>181</v>
      </c>
      <c r="BL3" s="76" t="s">
        <v>182</v>
      </c>
      <c r="BM3" s="76" t="s">
        <v>183</v>
      </c>
      <c r="BN3" s="76" t="s">
        <v>184</v>
      </c>
      <c r="BO3" s="76" t="s">
        <v>185</v>
      </c>
      <c r="BP3" s="75" t="s">
        <v>191</v>
      </c>
      <c r="BQ3" s="75" t="s">
        <v>192</v>
      </c>
      <c r="BR3" s="75" t="s">
        <v>202</v>
      </c>
      <c r="BS3" s="75" t="s">
        <v>198</v>
      </c>
    </row>
    <row r="4" spans="1:71">
      <c r="A4" s="58">
        <f>Rawdata!Y5</f>
        <v>0</v>
      </c>
      <c r="B4" s="59">
        <v>10</v>
      </c>
      <c r="C4" s="60" t="s">
        <v>188</v>
      </c>
      <c r="D4" s="60" t="s">
        <v>188</v>
      </c>
      <c r="E4" s="60">
        <v>2.19</v>
      </c>
      <c r="F4" s="60" t="s">
        <v>188</v>
      </c>
      <c r="G4" s="60" t="s">
        <v>188</v>
      </c>
      <c r="H4" s="60">
        <v>1.65</v>
      </c>
      <c r="I4" s="60" t="s">
        <v>188</v>
      </c>
      <c r="J4" s="60" t="s">
        <v>188</v>
      </c>
      <c r="K4" s="77">
        <v>0</v>
      </c>
      <c r="L4" s="77">
        <v>486.27</v>
      </c>
      <c r="M4" s="77">
        <v>0</v>
      </c>
      <c r="N4" s="64">
        <f>IF(C4="n.a.", 0, C4*B4)</f>
        <v>0</v>
      </c>
      <c r="O4" s="64">
        <f>IF(D4="n.a.", 0, D4*B4)</f>
        <v>0</v>
      </c>
      <c r="P4" s="64">
        <f>IF(E4="n.a.", 0, E4*B4)</f>
        <v>21.9</v>
      </c>
      <c r="Q4" s="64">
        <f>IF(F4="n.a.", 0, F4*B4)</f>
        <v>0</v>
      </c>
      <c r="R4" s="64">
        <f>IF(G4="n.a.", 0, G4*B4)</f>
        <v>0</v>
      </c>
      <c r="S4" s="64">
        <f>IF(H4="n.a.", 0, H4*B4)</f>
        <v>16.5</v>
      </c>
      <c r="T4" s="64">
        <f>IF(I4="n.a.", 0, I4*B4)</f>
        <v>0</v>
      </c>
      <c r="U4" s="64">
        <f>IF(J4="n.a.", 0, J4*B4)</f>
        <v>0</v>
      </c>
      <c r="V4" s="64">
        <f>K4*10</f>
        <v>0</v>
      </c>
      <c r="W4" s="64">
        <f>L4*10</f>
        <v>4862.7</v>
      </c>
      <c r="X4" s="64">
        <f>M4*10</f>
        <v>0</v>
      </c>
      <c r="Y4" s="61">
        <f>N4/Constants!$C$14</f>
        <v>0</v>
      </c>
      <c r="Z4" s="61">
        <f>O4/Constants!$C$15</f>
        <v>0</v>
      </c>
      <c r="AA4" s="61">
        <f>P4/Constants!$C$3</f>
        <v>0.36469608659450459</v>
      </c>
      <c r="AB4" s="61">
        <f>Q4/Constants!$C$4</f>
        <v>0</v>
      </c>
      <c r="AC4" s="61">
        <f>R4/Constants!$C$5</f>
        <v>0</v>
      </c>
      <c r="AD4" s="61">
        <f>S4/Constants!$C$6</f>
        <v>0.18726591760299627</v>
      </c>
      <c r="AE4" s="61">
        <f>T4/Constants!$C$8</f>
        <v>0</v>
      </c>
      <c r="AF4" s="61">
        <f>U4/Constants!$C$10</f>
        <v>0</v>
      </c>
      <c r="AG4" s="61">
        <f>V4/Constants!$C$12</f>
        <v>0</v>
      </c>
      <c r="AH4" s="61">
        <f>W4/Constants!$C$11</f>
        <v>56.483912184922751</v>
      </c>
      <c r="AI4" s="61">
        <f>X4/Constants!$C$13</f>
        <v>0</v>
      </c>
      <c r="AJ4" s="73">
        <f>Y4*Constants!$D$14</f>
        <v>0</v>
      </c>
      <c r="AK4" s="73">
        <f>Z4*Constants!$D$15</f>
        <v>0</v>
      </c>
      <c r="AL4" s="73">
        <f>AA4*Constants!$D$3</f>
        <v>0.72939217318900917</v>
      </c>
      <c r="AM4" s="73">
        <f>AB4*Constants!$D$4</f>
        <v>0</v>
      </c>
      <c r="AN4" s="73">
        <f>AC4*Constants!$D$5</f>
        <v>0</v>
      </c>
      <c r="AO4" s="73">
        <f>AD4*Constants!$D$6</f>
        <v>0.74906367041198507</v>
      </c>
      <c r="AP4" s="73">
        <f>AE4*Constants!$D$8</f>
        <v>0</v>
      </c>
      <c r="AQ4" s="73">
        <f>AF4*Constants!$D$10</f>
        <v>0</v>
      </c>
      <c r="AR4" s="73">
        <f>AG4*Constants!$D$12</f>
        <v>0</v>
      </c>
      <c r="AS4" s="73">
        <f>AH4*Constants!$D$11</f>
        <v>225.935648739691</v>
      </c>
      <c r="AT4" s="73">
        <f>AI4*Constants!$D$13</f>
        <v>0</v>
      </c>
      <c r="AU4" s="73">
        <f>SUM(AJ4:AT4)</f>
        <v>227.41410458329199</v>
      </c>
      <c r="AV4" s="74">
        <f>Y4*Constants!$E$14</f>
        <v>0</v>
      </c>
      <c r="AW4" s="74">
        <f>Z4*Constants!$E$15</f>
        <v>0</v>
      </c>
      <c r="AX4" s="74">
        <f>AA4*Constants!$E$3</f>
        <v>2.9175686927560367</v>
      </c>
      <c r="AY4" s="74">
        <f>AB4*Constants!$E$4</f>
        <v>0</v>
      </c>
      <c r="AZ4" s="74">
        <f>AC4*Constants!$E$5</f>
        <v>0</v>
      </c>
      <c r="BA4" s="74">
        <f>AD4*Constants!$E$6</f>
        <v>3.7453183520599254</v>
      </c>
      <c r="BB4" s="74">
        <f>AE4*Constants!$E$8</f>
        <v>0</v>
      </c>
      <c r="BC4" s="74">
        <f>AF4*Constants!$E$10</f>
        <v>0</v>
      </c>
      <c r="BD4" s="74">
        <f>AG4*Constants!$E$12</f>
        <v>0</v>
      </c>
      <c r="BE4" s="74">
        <f>AH4*Constants!$E$11</f>
        <v>1016.7104193286095</v>
      </c>
      <c r="BF4" s="74">
        <f>AI4*Constants!$E$13</f>
        <v>0</v>
      </c>
      <c r="BG4" s="74">
        <f>SUM(AV4:BF4)</f>
        <v>1023.3733063734255</v>
      </c>
      <c r="BH4" s="76">
        <f>N4*Constants!$I$14</f>
        <v>0</v>
      </c>
      <c r="BI4" s="76">
        <f>O4*Constants!$I$15</f>
        <v>0</v>
      </c>
      <c r="BJ4" s="76">
        <f>P4*Constants!$I$3</f>
        <v>23.36</v>
      </c>
      <c r="BK4" s="76">
        <f>Q4*Constants!$I$4</f>
        <v>0</v>
      </c>
      <c r="BL4" s="76">
        <f>R4*Constants!$I$5</f>
        <v>0</v>
      </c>
      <c r="BM4" s="76">
        <f>S4*Constants!$I$6</f>
        <v>30</v>
      </c>
      <c r="BN4" s="76">
        <f>T4*Constants!$I$8</f>
        <v>0</v>
      </c>
      <c r="BO4" s="76">
        <f>U4*Constants!$I$10</f>
        <v>0</v>
      </c>
      <c r="BP4" s="72">
        <f>V4*Constants!$I$12</f>
        <v>0</v>
      </c>
      <c r="BQ4" s="72">
        <f>W4*Constants!$I$11</f>
        <v>8594.539534883721</v>
      </c>
      <c r="BR4" s="72">
        <f>X4*Constants!$I$13</f>
        <v>0</v>
      </c>
      <c r="BS4" s="71">
        <f>SUM(BH4:BR4)</f>
        <v>8647.8995348837216</v>
      </c>
    </row>
    <row r="5" spans="1:71">
      <c r="A5" s="58">
        <f>Rawdata!Y6</f>
        <v>1.9791666666642413</v>
      </c>
      <c r="B5" s="59">
        <v>10</v>
      </c>
      <c r="C5" s="60" t="s">
        <v>188</v>
      </c>
      <c r="D5" s="60" t="s">
        <v>188</v>
      </c>
      <c r="E5" s="60">
        <v>45.25</v>
      </c>
      <c r="F5" s="60" t="s">
        <v>188</v>
      </c>
      <c r="G5" s="60" t="s">
        <v>188</v>
      </c>
      <c r="H5" s="60">
        <v>24.04</v>
      </c>
      <c r="I5" s="60" t="s">
        <v>188</v>
      </c>
      <c r="J5" s="60" t="s">
        <v>188</v>
      </c>
      <c r="K5" s="77">
        <v>80.260000000000005</v>
      </c>
      <c r="L5" s="77">
        <v>353.1</v>
      </c>
      <c r="M5" s="77">
        <v>0</v>
      </c>
      <c r="N5" s="64">
        <f t="shared" ref="N5:N64" si="0">IF(C5="n.a.", 0, C5*B5)</f>
        <v>0</v>
      </c>
      <c r="O5" s="64">
        <f t="shared" ref="O5:O64" si="1">IF(D5="n.a.", 0, D5*B5)</f>
        <v>0</v>
      </c>
      <c r="P5" s="64">
        <f t="shared" ref="P5:P64" si="2">IF(E5="n.a.", 0, E5*B5)</f>
        <v>452.5</v>
      </c>
      <c r="Q5" s="64">
        <f t="shared" ref="Q5:Q64" si="3">IF(F5="n.a.", 0, F5*B5)</f>
        <v>0</v>
      </c>
      <c r="R5" s="64">
        <f t="shared" ref="R5:R64" si="4">IF(G5="n.a.", 0, G5*B5)</f>
        <v>0</v>
      </c>
      <c r="S5" s="64">
        <f t="shared" ref="S5:S64" si="5">IF(H5="n.a.", 0, H5*B5)</f>
        <v>240.39999999999998</v>
      </c>
      <c r="T5" s="64">
        <f t="shared" ref="T5:T64" si="6">IF(I5="n.a.", 0, I5*B5)</f>
        <v>0</v>
      </c>
      <c r="U5" s="64">
        <f t="shared" ref="U5:U64" si="7">IF(J5="n.a.", 0, J5*B5)</f>
        <v>0</v>
      </c>
      <c r="V5" s="64">
        <f t="shared" ref="V5:V64" si="8">K5*10</f>
        <v>802.6</v>
      </c>
      <c r="W5" s="64">
        <f t="shared" ref="W5:W64" si="9">L5*10</f>
        <v>3531</v>
      </c>
      <c r="X5" s="64">
        <f t="shared" ref="X5:X64" si="10">M5*10</f>
        <v>0</v>
      </c>
      <c r="Y5" s="61">
        <f>N5/Constants!$C$14</f>
        <v>0</v>
      </c>
      <c r="Z5" s="61">
        <f>O5/Constants!$C$15</f>
        <v>0</v>
      </c>
      <c r="AA5" s="61">
        <f>P5/Constants!$C$3</f>
        <v>7.5353871773522068</v>
      </c>
      <c r="AB5" s="61">
        <f>Q5/Constants!$C$4</f>
        <v>0</v>
      </c>
      <c r="AC5" s="61">
        <f>R5/Constants!$C$5</f>
        <v>0</v>
      </c>
      <c r="AD5" s="61">
        <f>S5/Constants!$C$6</f>
        <v>2.7284076722278967</v>
      </c>
      <c r="AE5" s="61">
        <f>T5/Constants!$C$8</f>
        <v>0</v>
      </c>
      <c r="AF5" s="61">
        <f>U5/Constants!$C$10</f>
        <v>0</v>
      </c>
      <c r="AG5" s="61">
        <f>V5/Constants!$C$12</f>
        <v>7.7095610660442153</v>
      </c>
      <c r="AH5" s="61">
        <f>W5/Constants!$C$11</f>
        <v>41.015216633755372</v>
      </c>
      <c r="AI5" s="61">
        <f>X5/Constants!$C$13</f>
        <v>0</v>
      </c>
      <c r="AJ5" s="73">
        <f>Y5*Constants!$D$14</f>
        <v>0</v>
      </c>
      <c r="AK5" s="73">
        <f>Z5*Constants!$D$15</f>
        <v>0</v>
      </c>
      <c r="AL5" s="73">
        <f>AA5*Constants!$D$3</f>
        <v>15.070774354704414</v>
      </c>
      <c r="AM5" s="73">
        <f>AB5*Constants!$D$4</f>
        <v>0</v>
      </c>
      <c r="AN5" s="73">
        <f>AC5*Constants!$D$5</f>
        <v>0</v>
      </c>
      <c r="AO5" s="73">
        <f>AD5*Constants!$D$6</f>
        <v>10.913630688911587</v>
      </c>
      <c r="AP5" s="73">
        <f>AE5*Constants!$D$8</f>
        <v>0</v>
      </c>
      <c r="AQ5" s="73">
        <f>AF5*Constants!$D$10</f>
        <v>0</v>
      </c>
      <c r="AR5" s="73">
        <f>AG5*Constants!$D$12</f>
        <v>30.838244264176861</v>
      </c>
      <c r="AS5" s="73">
        <f>AH5*Constants!$D$11</f>
        <v>164.06086653502149</v>
      </c>
      <c r="AT5" s="73">
        <f>AI5*Constants!$D$13</f>
        <v>0</v>
      </c>
      <c r="AU5" s="73">
        <f t="shared" ref="AU5:AU64" si="11">SUM(AJ5:AT5)</f>
        <v>220.88351584281435</v>
      </c>
      <c r="AV5" s="74">
        <f>Y5*Constants!$E$14</f>
        <v>0</v>
      </c>
      <c r="AW5" s="74">
        <f>Z5*Constants!$E$15</f>
        <v>0</v>
      </c>
      <c r="AX5" s="74">
        <f>AA5*Constants!$E$3</f>
        <v>60.283097418817654</v>
      </c>
      <c r="AY5" s="74">
        <f>AB5*Constants!$E$4</f>
        <v>0</v>
      </c>
      <c r="AZ5" s="74">
        <f>AC5*Constants!$E$5</f>
        <v>0</v>
      </c>
      <c r="BA5" s="74">
        <f>AD5*Constants!$E$6</f>
        <v>54.568153444557936</v>
      </c>
      <c r="BB5" s="74">
        <f>AE5*Constants!$E$8</f>
        <v>0</v>
      </c>
      <c r="BC5" s="74">
        <f>AF5*Constants!$E$10</f>
        <v>0</v>
      </c>
      <c r="BD5" s="74">
        <f>AG5*Constants!$E$12</f>
        <v>138.77209918879586</v>
      </c>
      <c r="BE5" s="74">
        <f>AH5*Constants!$E$11</f>
        <v>738.27389940759667</v>
      </c>
      <c r="BF5" s="74">
        <f>AI5*Constants!$E$13</f>
        <v>0</v>
      </c>
      <c r="BG5" s="74">
        <f t="shared" ref="BG5:BG64" si="12">SUM(AV5:BF5)</f>
        <v>991.89724945976809</v>
      </c>
      <c r="BH5" s="76">
        <f>N5*Constants!$I$14</f>
        <v>0</v>
      </c>
      <c r="BI5" s="76">
        <f>O5*Constants!$I$15</f>
        <v>0</v>
      </c>
      <c r="BJ5" s="76">
        <f>P5*Constants!$I$3</f>
        <v>482.66666666666669</v>
      </c>
      <c r="BK5" s="76">
        <f>Q5*Constants!$I$4</f>
        <v>0</v>
      </c>
      <c r="BL5" s="76">
        <f>R5*Constants!$I$5</f>
        <v>0</v>
      </c>
      <c r="BM5" s="76">
        <f>S5*Constants!$I$6</f>
        <v>437.09090909090901</v>
      </c>
      <c r="BN5" s="76">
        <f>T5*Constants!$I$8</f>
        <v>0</v>
      </c>
      <c r="BO5" s="76">
        <f>U5*Constants!$I$10</f>
        <v>0</v>
      </c>
      <c r="BP5" s="72">
        <f>V5*Constants!$I$12</f>
        <v>1111.2923076923078</v>
      </c>
      <c r="BQ5" s="72">
        <f>W5*Constants!$I$11</f>
        <v>6240.8372093023254</v>
      </c>
      <c r="BR5" s="72">
        <f>X5*Constants!$I$13</f>
        <v>0</v>
      </c>
      <c r="BS5" s="71">
        <f t="shared" ref="BS5:BS64" si="13">SUM(BH5:BR5)</f>
        <v>8271.8870927522094</v>
      </c>
    </row>
    <row r="6" spans="1:71">
      <c r="A6" s="58">
        <f>Rawdata!Y7</f>
        <v>5.0034722222262644</v>
      </c>
      <c r="B6" s="59">
        <v>10</v>
      </c>
      <c r="C6" s="60" t="s">
        <v>188</v>
      </c>
      <c r="D6" s="60" t="s">
        <v>188</v>
      </c>
      <c r="E6" s="60">
        <v>377.84</v>
      </c>
      <c r="F6" s="60" t="s">
        <v>188</v>
      </c>
      <c r="G6" s="60">
        <v>1.49</v>
      </c>
      <c r="H6" s="60">
        <v>199.14</v>
      </c>
      <c r="I6" s="60">
        <v>1.1000000000000001</v>
      </c>
      <c r="J6" s="60">
        <v>2.62</v>
      </c>
      <c r="K6" s="77">
        <v>0.82</v>
      </c>
      <c r="L6" s="77">
        <v>0.28999999999999998</v>
      </c>
      <c r="M6" s="77">
        <v>0</v>
      </c>
      <c r="N6" s="64">
        <f t="shared" si="0"/>
        <v>0</v>
      </c>
      <c r="O6" s="64">
        <f t="shared" si="1"/>
        <v>0</v>
      </c>
      <c r="P6" s="64">
        <f t="shared" si="2"/>
        <v>3778.3999999999996</v>
      </c>
      <c r="Q6" s="64">
        <f t="shared" si="3"/>
        <v>0</v>
      </c>
      <c r="R6" s="64">
        <f t="shared" si="4"/>
        <v>14.9</v>
      </c>
      <c r="S6" s="64">
        <f t="shared" si="5"/>
        <v>1991.3999999999999</v>
      </c>
      <c r="T6" s="64">
        <f t="shared" si="6"/>
        <v>11</v>
      </c>
      <c r="U6" s="64">
        <f t="shared" si="7"/>
        <v>26.200000000000003</v>
      </c>
      <c r="V6" s="64">
        <f t="shared" si="8"/>
        <v>8.1999999999999993</v>
      </c>
      <c r="W6" s="64">
        <f t="shared" si="9"/>
        <v>2.9</v>
      </c>
      <c r="X6" s="64">
        <f t="shared" si="10"/>
        <v>0</v>
      </c>
      <c r="Y6" s="61">
        <f>N6/Constants!$C$14</f>
        <v>0</v>
      </c>
      <c r="Z6" s="61">
        <f>O6/Constants!$C$15</f>
        <v>0</v>
      </c>
      <c r="AA6" s="61">
        <f>P6/Constants!$C$3</f>
        <v>62.92089925062448</v>
      </c>
      <c r="AB6" s="61">
        <f>Q6/Constants!$C$4</f>
        <v>0</v>
      </c>
      <c r="AC6" s="61">
        <f>R6/Constants!$C$5</f>
        <v>0.16910679832028147</v>
      </c>
      <c r="AD6" s="61">
        <f>S6/Constants!$C$6</f>
        <v>22.601293837248893</v>
      </c>
      <c r="AE6" s="61">
        <f>T6/Constants!$C$8</f>
        <v>0.10770586507392539</v>
      </c>
      <c r="AF6" s="61">
        <f>U6/Constants!$C$10</f>
        <v>0.22555096418732787</v>
      </c>
      <c r="AG6" s="61">
        <f>V6/Constants!$C$12</f>
        <v>7.8767008150464182E-2</v>
      </c>
      <c r="AH6" s="61">
        <f>W6/Constants!$C$11</f>
        <v>3.3685677779068411E-2</v>
      </c>
      <c r="AI6" s="61">
        <f>X6/Constants!$C$13</f>
        <v>0</v>
      </c>
      <c r="AJ6" s="73">
        <f>Y6*Constants!$D$14</f>
        <v>0</v>
      </c>
      <c r="AK6" s="73">
        <f>Z6*Constants!$D$15</f>
        <v>0</v>
      </c>
      <c r="AL6" s="73">
        <f>AA6*Constants!$D$3</f>
        <v>125.84179850124896</v>
      </c>
      <c r="AM6" s="73">
        <f>AB6*Constants!$D$4</f>
        <v>0</v>
      </c>
      <c r="AN6" s="73">
        <f>AC6*Constants!$D$5</f>
        <v>0.67642719328112588</v>
      </c>
      <c r="AO6" s="73">
        <f>AD6*Constants!$D$6</f>
        <v>90.40517534899557</v>
      </c>
      <c r="AP6" s="73">
        <f>AE6*Constants!$D$8</f>
        <v>0.53852932536962694</v>
      </c>
      <c r="AQ6" s="73">
        <f>AF6*Constants!$D$10</f>
        <v>1.3533057851239672</v>
      </c>
      <c r="AR6" s="73">
        <f>AG6*Constants!$D$12</f>
        <v>0.31506803260185673</v>
      </c>
      <c r="AS6" s="73">
        <f>AH6*Constants!$D$11</f>
        <v>0.13474271111627364</v>
      </c>
      <c r="AT6" s="73">
        <f>AI6*Constants!$D$13</f>
        <v>0</v>
      </c>
      <c r="AU6" s="73">
        <f t="shared" si="11"/>
        <v>219.26504689773739</v>
      </c>
      <c r="AV6" s="74">
        <f>Y6*Constants!$E$14</f>
        <v>0</v>
      </c>
      <c r="AW6" s="74">
        <f>Z6*Constants!$E$15</f>
        <v>0</v>
      </c>
      <c r="AX6" s="74">
        <f>AA6*Constants!$E$3</f>
        <v>503.36719400499584</v>
      </c>
      <c r="AY6" s="74">
        <f>AB6*Constants!$E$4</f>
        <v>0</v>
      </c>
      <c r="AZ6" s="74">
        <f>AC6*Constants!$E$5</f>
        <v>3.3821359664056292</v>
      </c>
      <c r="BA6" s="74">
        <f>AD6*Constants!$E$6</f>
        <v>452.02587674497784</v>
      </c>
      <c r="BB6" s="74">
        <f>AE6*Constants!$E$8</f>
        <v>2.8003524919220601</v>
      </c>
      <c r="BC6" s="74">
        <f>AF6*Constants!$E$10</f>
        <v>7.2176308539944918</v>
      </c>
      <c r="BD6" s="74">
        <f>AG6*Constants!$E$12</f>
        <v>1.4178061467083554</v>
      </c>
      <c r="BE6" s="74">
        <f>AH6*Constants!$E$11</f>
        <v>0.60634220002323136</v>
      </c>
      <c r="BF6" s="74">
        <f>AI6*Constants!$E$13</f>
        <v>0</v>
      </c>
      <c r="BG6" s="74">
        <f t="shared" si="12"/>
        <v>970.81733840902746</v>
      </c>
      <c r="BH6" s="76">
        <f>N6*Constants!$I$14</f>
        <v>0</v>
      </c>
      <c r="BI6" s="76">
        <f>O6*Constants!$I$15</f>
        <v>0</v>
      </c>
      <c r="BJ6" s="76">
        <f>P6*Constants!$I$3</f>
        <v>4030.2933333333331</v>
      </c>
      <c r="BK6" s="76">
        <f>Q6*Constants!$I$4</f>
        <v>0</v>
      </c>
      <c r="BL6" s="76">
        <f>R6*Constants!$I$5</f>
        <v>27.09090909090909</v>
      </c>
      <c r="BM6" s="76">
        <f>S6*Constants!$I$6</f>
        <v>3620.7272727272725</v>
      </c>
      <c r="BN6" s="76">
        <f>T6*Constants!$I$8</f>
        <v>22.431372549019606</v>
      </c>
      <c r="BO6" s="76">
        <f>U6*Constants!$I$10</f>
        <v>57.820689655172423</v>
      </c>
      <c r="BP6" s="72">
        <f>V6*Constants!$I$12</f>
        <v>11.353846153846153</v>
      </c>
      <c r="BQ6" s="72">
        <f>W6*Constants!$I$11</f>
        <v>5.1255813953488367</v>
      </c>
      <c r="BR6" s="72">
        <f>X6*Constants!$I$13</f>
        <v>0</v>
      </c>
      <c r="BS6" s="71">
        <f t="shared" si="13"/>
        <v>7774.843004904902</v>
      </c>
    </row>
    <row r="7" spans="1:71">
      <c r="A7" s="58">
        <f>Rawdata!Y8</f>
        <v>7.015972222223354</v>
      </c>
      <c r="B7" s="59">
        <v>10</v>
      </c>
      <c r="C7" s="60" t="s">
        <v>188</v>
      </c>
      <c r="D7" s="60" t="s">
        <v>188</v>
      </c>
      <c r="E7" s="60">
        <v>369.94</v>
      </c>
      <c r="F7" s="60">
        <v>0.56000000000000005</v>
      </c>
      <c r="G7" s="60">
        <v>1.59</v>
      </c>
      <c r="H7" s="60">
        <v>197.41</v>
      </c>
      <c r="I7" s="60" t="s">
        <v>188</v>
      </c>
      <c r="J7" s="60">
        <v>3.02</v>
      </c>
      <c r="K7" s="77">
        <v>0</v>
      </c>
      <c r="L7" s="77">
        <v>0.03</v>
      </c>
      <c r="M7" s="77">
        <v>0</v>
      </c>
      <c r="N7" s="64">
        <f t="shared" si="0"/>
        <v>0</v>
      </c>
      <c r="O7" s="64">
        <f t="shared" si="1"/>
        <v>0</v>
      </c>
      <c r="P7" s="64">
        <f t="shared" si="2"/>
        <v>3699.4</v>
      </c>
      <c r="Q7" s="64">
        <f t="shared" si="3"/>
        <v>5.6000000000000005</v>
      </c>
      <c r="R7" s="64">
        <f t="shared" si="4"/>
        <v>15.9</v>
      </c>
      <c r="S7" s="64">
        <f t="shared" si="5"/>
        <v>1974.1</v>
      </c>
      <c r="T7" s="64">
        <f t="shared" si="6"/>
        <v>0</v>
      </c>
      <c r="U7" s="64">
        <f t="shared" si="7"/>
        <v>30.2</v>
      </c>
      <c r="V7" s="64">
        <f t="shared" si="8"/>
        <v>0</v>
      </c>
      <c r="W7" s="64">
        <f t="shared" si="9"/>
        <v>0.3</v>
      </c>
      <c r="X7" s="64">
        <f t="shared" si="10"/>
        <v>0</v>
      </c>
      <c r="Y7" s="61">
        <f>N7/Constants!$C$14</f>
        <v>0</v>
      </c>
      <c r="Z7" s="61">
        <f>O7/Constants!$C$15</f>
        <v>0</v>
      </c>
      <c r="AA7" s="61">
        <f>P7/Constants!$C$3</f>
        <v>61.605328892589512</v>
      </c>
      <c r="AB7" s="61">
        <f>Q7/Constants!$C$4</f>
        <v>7.559395248380131E-2</v>
      </c>
      <c r="AC7" s="61">
        <f>R7/Constants!$C$5</f>
        <v>0.18045624787197823</v>
      </c>
      <c r="AD7" s="61">
        <f>S7/Constants!$C$6</f>
        <v>22.404948360004539</v>
      </c>
      <c r="AE7" s="61">
        <f>T7/Constants!$C$8</f>
        <v>0</v>
      </c>
      <c r="AF7" s="61">
        <f>U7/Constants!$C$10</f>
        <v>0.25998622589531678</v>
      </c>
      <c r="AG7" s="61">
        <f>V7/Constants!$C$12</f>
        <v>0</v>
      </c>
      <c r="AH7" s="61">
        <f>W7/Constants!$C$11</f>
        <v>3.4847252874898359E-3</v>
      </c>
      <c r="AI7" s="61">
        <f>X7/Constants!$C$13</f>
        <v>0</v>
      </c>
      <c r="AJ7" s="73">
        <f>Y7*Constants!$D$14</f>
        <v>0</v>
      </c>
      <c r="AK7" s="73">
        <f>Z7*Constants!$D$15</f>
        <v>0</v>
      </c>
      <c r="AL7" s="73">
        <f>AA7*Constants!$D$3</f>
        <v>123.21065778517902</v>
      </c>
      <c r="AM7" s="73">
        <f>AB7*Constants!$D$4</f>
        <v>0.22678185745140395</v>
      </c>
      <c r="AN7" s="73">
        <f>AC7*Constants!$D$5</f>
        <v>0.7218249914879129</v>
      </c>
      <c r="AO7" s="73">
        <f>AD7*Constants!$D$6</f>
        <v>89.619793440018157</v>
      </c>
      <c r="AP7" s="73">
        <f>AE7*Constants!$D$8</f>
        <v>0</v>
      </c>
      <c r="AQ7" s="73">
        <f>AF7*Constants!$D$10</f>
        <v>1.5599173553719008</v>
      </c>
      <c r="AR7" s="73">
        <f>AG7*Constants!$D$12</f>
        <v>0</v>
      </c>
      <c r="AS7" s="73">
        <f>AH7*Constants!$D$11</f>
        <v>1.3938901149959344E-2</v>
      </c>
      <c r="AT7" s="73">
        <f>AI7*Constants!$D$13</f>
        <v>0</v>
      </c>
      <c r="AU7" s="73">
        <f t="shared" si="11"/>
        <v>215.35291433065836</v>
      </c>
      <c r="AV7" s="74">
        <f>Y7*Constants!$E$14</f>
        <v>0</v>
      </c>
      <c r="AW7" s="74">
        <f>Z7*Constants!$E$15</f>
        <v>0</v>
      </c>
      <c r="AX7" s="74">
        <f>AA7*Constants!$E$3</f>
        <v>492.84263114071609</v>
      </c>
      <c r="AY7" s="74">
        <f>AB7*Constants!$E$4</f>
        <v>1.0583153347732184</v>
      </c>
      <c r="AZ7" s="74">
        <f>AC7*Constants!$E$5</f>
        <v>3.6091249574395645</v>
      </c>
      <c r="BA7" s="74">
        <f>AD7*Constants!$E$6</f>
        <v>448.09896720009078</v>
      </c>
      <c r="BB7" s="74">
        <f>AE7*Constants!$E$8</f>
        <v>0</v>
      </c>
      <c r="BC7" s="74">
        <f>AF7*Constants!$E$10</f>
        <v>8.319559228650137</v>
      </c>
      <c r="BD7" s="74">
        <f>AG7*Constants!$E$12</f>
        <v>0</v>
      </c>
      <c r="BE7" s="74">
        <f>AH7*Constants!$E$11</f>
        <v>6.2725055174817052E-2</v>
      </c>
      <c r="BF7" s="74">
        <f>AI7*Constants!$E$13</f>
        <v>0</v>
      </c>
      <c r="BG7" s="74">
        <f t="shared" si="12"/>
        <v>953.99132291684475</v>
      </c>
      <c r="BH7" s="76">
        <f>N7*Constants!$I$14</f>
        <v>0</v>
      </c>
      <c r="BI7" s="76">
        <f>O7*Constants!$I$15</f>
        <v>0</v>
      </c>
      <c r="BJ7" s="76">
        <f>P7*Constants!$I$3</f>
        <v>3946.0266666666666</v>
      </c>
      <c r="BK7" s="76">
        <f>Q7*Constants!$I$4</f>
        <v>8.4756756756756761</v>
      </c>
      <c r="BL7" s="76">
        <f>R7*Constants!$I$5</f>
        <v>28.90909090909091</v>
      </c>
      <c r="BM7" s="76">
        <f>S7*Constants!$I$6</f>
        <v>3589.272727272727</v>
      </c>
      <c r="BN7" s="76">
        <f>T7*Constants!$I$8</f>
        <v>0</v>
      </c>
      <c r="BO7" s="76">
        <f>U7*Constants!$I$10</f>
        <v>66.648275862068957</v>
      </c>
      <c r="BP7" s="72">
        <f>V7*Constants!$I$12</f>
        <v>0</v>
      </c>
      <c r="BQ7" s="72">
        <f>W7*Constants!$I$11</f>
        <v>0.53023255813953485</v>
      </c>
      <c r="BR7" s="72">
        <f>X7*Constants!$I$13</f>
        <v>0</v>
      </c>
      <c r="BS7" s="71">
        <f t="shared" si="13"/>
        <v>7639.862668944369</v>
      </c>
    </row>
    <row r="8" spans="1:71">
      <c r="A8" s="58">
        <f>Rawdata!Y9</f>
        <v>9.0881944444481633</v>
      </c>
      <c r="B8" s="59">
        <v>10</v>
      </c>
      <c r="C8" s="60" t="s">
        <v>188</v>
      </c>
      <c r="D8" s="60" t="s">
        <v>188</v>
      </c>
      <c r="E8" s="60">
        <v>373.72</v>
      </c>
      <c r="F8" s="60">
        <v>1.43</v>
      </c>
      <c r="G8" s="60">
        <v>1.57</v>
      </c>
      <c r="H8" s="60">
        <v>200.3</v>
      </c>
      <c r="I8" s="60" t="s">
        <v>188</v>
      </c>
      <c r="J8" s="60">
        <v>3.37</v>
      </c>
      <c r="K8" s="77">
        <v>0</v>
      </c>
      <c r="L8" s="77">
        <v>0.03</v>
      </c>
      <c r="M8" s="77">
        <v>0</v>
      </c>
      <c r="N8" s="64">
        <f t="shared" si="0"/>
        <v>0</v>
      </c>
      <c r="O8" s="64">
        <f t="shared" si="1"/>
        <v>0</v>
      </c>
      <c r="P8" s="64">
        <f t="shared" si="2"/>
        <v>3737.2000000000003</v>
      </c>
      <c r="Q8" s="64">
        <f t="shared" si="3"/>
        <v>14.299999999999999</v>
      </c>
      <c r="R8" s="64">
        <f t="shared" si="4"/>
        <v>15.700000000000001</v>
      </c>
      <c r="S8" s="64">
        <f t="shared" si="5"/>
        <v>2003</v>
      </c>
      <c r="T8" s="64">
        <f t="shared" si="6"/>
        <v>0</v>
      </c>
      <c r="U8" s="64">
        <f t="shared" si="7"/>
        <v>33.700000000000003</v>
      </c>
      <c r="V8" s="64">
        <f t="shared" si="8"/>
        <v>0</v>
      </c>
      <c r="W8" s="64">
        <f t="shared" si="9"/>
        <v>0.3</v>
      </c>
      <c r="X8" s="64">
        <f t="shared" si="10"/>
        <v>0</v>
      </c>
      <c r="Y8" s="61">
        <f>N8/Constants!$C$14</f>
        <v>0</v>
      </c>
      <c r="Z8" s="61">
        <f>O8/Constants!$C$15</f>
        <v>0</v>
      </c>
      <c r="AA8" s="61">
        <f>P8/Constants!$C$3</f>
        <v>62.234804329725236</v>
      </c>
      <c r="AB8" s="61">
        <f>Q8/Constants!$C$4</f>
        <v>0.19303455723542115</v>
      </c>
      <c r="AC8" s="61">
        <f>R8/Constants!$C$5</f>
        <v>0.17818635796163887</v>
      </c>
      <c r="AD8" s="61">
        <f>S8/Constants!$C$6</f>
        <v>22.732947452048577</v>
      </c>
      <c r="AE8" s="61">
        <f>T8/Constants!$C$8</f>
        <v>0</v>
      </c>
      <c r="AF8" s="61">
        <f>U8/Constants!$C$10</f>
        <v>0.29011707988980717</v>
      </c>
      <c r="AG8" s="61">
        <f>V8/Constants!$C$12</f>
        <v>0</v>
      </c>
      <c r="AH8" s="61">
        <f>W8/Constants!$C$11</f>
        <v>3.4847252874898359E-3</v>
      </c>
      <c r="AI8" s="61">
        <f>X8/Constants!$C$13</f>
        <v>0</v>
      </c>
      <c r="AJ8" s="73">
        <f>Y8*Constants!$D$14</f>
        <v>0</v>
      </c>
      <c r="AK8" s="73">
        <f>Z8*Constants!$D$15</f>
        <v>0</v>
      </c>
      <c r="AL8" s="73">
        <f>AA8*Constants!$D$3</f>
        <v>124.46960865945047</v>
      </c>
      <c r="AM8" s="73">
        <f>AB8*Constants!$D$4</f>
        <v>0.57910367170626342</v>
      </c>
      <c r="AN8" s="73">
        <f>AC8*Constants!$D$5</f>
        <v>0.71274543184655548</v>
      </c>
      <c r="AO8" s="73">
        <f>AD8*Constants!$D$6</f>
        <v>90.93178980819431</v>
      </c>
      <c r="AP8" s="73">
        <f>AE8*Constants!$D$8</f>
        <v>0</v>
      </c>
      <c r="AQ8" s="73">
        <f>AF8*Constants!$D$10</f>
        <v>1.740702479338843</v>
      </c>
      <c r="AR8" s="73">
        <f>AG8*Constants!$D$12</f>
        <v>0</v>
      </c>
      <c r="AS8" s="73">
        <f>AH8*Constants!$D$11</f>
        <v>1.3938901149959344E-2</v>
      </c>
      <c r="AT8" s="73">
        <f>AI8*Constants!$D$13</f>
        <v>0</v>
      </c>
      <c r="AU8" s="73">
        <f t="shared" si="11"/>
        <v>218.44788895168642</v>
      </c>
      <c r="AV8" s="74">
        <f>Y8*Constants!$E$14</f>
        <v>0</v>
      </c>
      <c r="AW8" s="74">
        <f>Z8*Constants!$E$15</f>
        <v>0</v>
      </c>
      <c r="AX8" s="74">
        <f>AA8*Constants!$E$3</f>
        <v>497.87843463780189</v>
      </c>
      <c r="AY8" s="74">
        <f>AB8*Constants!$E$4</f>
        <v>2.7024838012958963</v>
      </c>
      <c r="AZ8" s="74">
        <f>AC8*Constants!$E$5</f>
        <v>3.5637271592327773</v>
      </c>
      <c r="BA8" s="74">
        <f>AD8*Constants!$E$6</f>
        <v>454.65894904097155</v>
      </c>
      <c r="BB8" s="74">
        <f>AE8*Constants!$E$8</f>
        <v>0</v>
      </c>
      <c r="BC8" s="74">
        <f>AF8*Constants!$E$10</f>
        <v>9.2837465564738295</v>
      </c>
      <c r="BD8" s="74">
        <f>AG8*Constants!$E$12</f>
        <v>0</v>
      </c>
      <c r="BE8" s="74">
        <f>AH8*Constants!$E$11</f>
        <v>6.2725055174817052E-2</v>
      </c>
      <c r="BF8" s="74">
        <f>AI8*Constants!$E$13</f>
        <v>0</v>
      </c>
      <c r="BG8" s="74">
        <f t="shared" si="12"/>
        <v>968.15006625095077</v>
      </c>
      <c r="BH8" s="76">
        <f>N8*Constants!$I$14</f>
        <v>0</v>
      </c>
      <c r="BI8" s="76">
        <f>O8*Constants!$I$15</f>
        <v>0</v>
      </c>
      <c r="BJ8" s="76">
        <f>P8*Constants!$I$3</f>
        <v>3986.3466666666668</v>
      </c>
      <c r="BK8" s="76">
        <f>Q8*Constants!$I$4</f>
        <v>21.643243243243244</v>
      </c>
      <c r="BL8" s="76">
        <f>R8*Constants!$I$5</f>
        <v>28.545454545454547</v>
      </c>
      <c r="BM8" s="76">
        <f>S8*Constants!$I$6</f>
        <v>3641.8181818181815</v>
      </c>
      <c r="BN8" s="76">
        <f>T8*Constants!$I$8</f>
        <v>0</v>
      </c>
      <c r="BO8" s="76">
        <f>U8*Constants!$I$10</f>
        <v>74.372413793103448</v>
      </c>
      <c r="BP8" s="72">
        <f>V8*Constants!$I$12</f>
        <v>0</v>
      </c>
      <c r="BQ8" s="72">
        <f>W8*Constants!$I$11</f>
        <v>0.53023255813953485</v>
      </c>
      <c r="BR8" s="72">
        <f>X8*Constants!$I$13</f>
        <v>0</v>
      </c>
      <c r="BS8" s="71">
        <f t="shared" si="13"/>
        <v>7753.256192624789</v>
      </c>
    </row>
    <row r="9" spans="1:71">
      <c r="A9" s="58">
        <f>Rawdata!Y10</f>
        <v>9.2743055555547471</v>
      </c>
      <c r="B9" s="59">
        <v>10</v>
      </c>
      <c r="C9" s="60" t="s">
        <v>188</v>
      </c>
      <c r="D9" s="60" t="s">
        <v>188</v>
      </c>
      <c r="E9" s="60">
        <v>341.82</v>
      </c>
      <c r="F9" s="60">
        <v>1.4</v>
      </c>
      <c r="G9" s="60">
        <v>1.37</v>
      </c>
      <c r="H9" s="60">
        <v>181.23</v>
      </c>
      <c r="I9" s="60" t="s">
        <v>188</v>
      </c>
      <c r="J9" s="60">
        <v>3.08</v>
      </c>
      <c r="K9" s="77">
        <v>0</v>
      </c>
      <c r="L9" s="77">
        <v>26.79</v>
      </c>
      <c r="M9" s="77">
        <v>0</v>
      </c>
      <c r="N9" s="64">
        <f t="shared" si="0"/>
        <v>0</v>
      </c>
      <c r="O9" s="64">
        <f t="shared" si="1"/>
        <v>0</v>
      </c>
      <c r="P9" s="64">
        <f t="shared" si="2"/>
        <v>3418.2</v>
      </c>
      <c r="Q9" s="64">
        <f t="shared" si="3"/>
        <v>14</v>
      </c>
      <c r="R9" s="64">
        <f t="shared" si="4"/>
        <v>13.700000000000001</v>
      </c>
      <c r="S9" s="64">
        <f t="shared" si="5"/>
        <v>1812.3</v>
      </c>
      <c r="T9" s="64">
        <f t="shared" si="6"/>
        <v>0</v>
      </c>
      <c r="U9" s="64">
        <f t="shared" si="7"/>
        <v>30.8</v>
      </c>
      <c r="V9" s="64">
        <f t="shared" si="8"/>
        <v>0</v>
      </c>
      <c r="W9" s="64">
        <f t="shared" si="9"/>
        <v>267.89999999999998</v>
      </c>
      <c r="X9" s="64">
        <f t="shared" si="10"/>
        <v>0</v>
      </c>
      <c r="Y9" s="61">
        <f>N9/Constants!$C$14</f>
        <v>0</v>
      </c>
      <c r="Z9" s="61">
        <f>O9/Constants!$C$15</f>
        <v>0</v>
      </c>
      <c r="AA9" s="61">
        <f>P9/Constants!$C$3</f>
        <v>56.922564529558699</v>
      </c>
      <c r="AB9" s="61">
        <f>Q9/Constants!$C$4</f>
        <v>0.18898488120950324</v>
      </c>
      <c r="AC9" s="61">
        <f>R9/Constants!$C$5</f>
        <v>0.15548745885824539</v>
      </c>
      <c r="AD9" s="61">
        <f>S9/Constants!$C$6</f>
        <v>20.568607422540005</v>
      </c>
      <c r="AE9" s="61">
        <f>T9/Constants!$C$8</f>
        <v>0</v>
      </c>
      <c r="AF9" s="61">
        <f>U9/Constants!$C$10</f>
        <v>0.26515151515151514</v>
      </c>
      <c r="AG9" s="61">
        <f>V9/Constants!$C$12</f>
        <v>0</v>
      </c>
      <c r="AH9" s="61">
        <f>W9/Constants!$C$11</f>
        <v>3.1118596817284234</v>
      </c>
      <c r="AI9" s="61">
        <f>X9/Constants!$C$13</f>
        <v>0</v>
      </c>
      <c r="AJ9" s="73">
        <f>Y9*Constants!$D$14</f>
        <v>0</v>
      </c>
      <c r="AK9" s="73">
        <f>Z9*Constants!$D$15</f>
        <v>0</v>
      </c>
      <c r="AL9" s="73">
        <f>AA9*Constants!$D$3</f>
        <v>113.8451290591174</v>
      </c>
      <c r="AM9" s="73">
        <f>AB9*Constants!$D$4</f>
        <v>0.56695464362850978</v>
      </c>
      <c r="AN9" s="73">
        <f>AC9*Constants!$D$5</f>
        <v>0.62194983543298155</v>
      </c>
      <c r="AO9" s="73">
        <f>AD9*Constants!$D$6</f>
        <v>82.274429690160019</v>
      </c>
      <c r="AP9" s="73">
        <f>AE9*Constants!$D$8</f>
        <v>0</v>
      </c>
      <c r="AQ9" s="73">
        <f>AF9*Constants!$D$10</f>
        <v>1.5909090909090908</v>
      </c>
      <c r="AR9" s="73">
        <f>AG9*Constants!$D$12</f>
        <v>0</v>
      </c>
      <c r="AS9" s="73">
        <f>AH9*Constants!$D$11</f>
        <v>12.447438726913694</v>
      </c>
      <c r="AT9" s="73">
        <f>AI9*Constants!$D$13</f>
        <v>0</v>
      </c>
      <c r="AU9" s="73">
        <f t="shared" si="11"/>
        <v>211.34681104616169</v>
      </c>
      <c r="AV9" s="74">
        <f>Y9*Constants!$E$14</f>
        <v>0</v>
      </c>
      <c r="AW9" s="74">
        <f>Z9*Constants!$E$15</f>
        <v>0</v>
      </c>
      <c r="AX9" s="74">
        <f>AA9*Constants!$E$3</f>
        <v>455.38051623646959</v>
      </c>
      <c r="AY9" s="74">
        <f>AB9*Constants!$E$4</f>
        <v>2.6457883369330455</v>
      </c>
      <c r="AZ9" s="74">
        <f>AC9*Constants!$E$5</f>
        <v>3.1097491771649075</v>
      </c>
      <c r="BA9" s="74">
        <f>AD9*Constants!$E$6</f>
        <v>411.37214845080007</v>
      </c>
      <c r="BB9" s="74">
        <f>AE9*Constants!$E$8</f>
        <v>0</v>
      </c>
      <c r="BC9" s="74">
        <f>AF9*Constants!$E$10</f>
        <v>8.4848484848484844</v>
      </c>
      <c r="BD9" s="74">
        <f>AG9*Constants!$E$12</f>
        <v>0</v>
      </c>
      <c r="BE9" s="74">
        <f>AH9*Constants!$E$11</f>
        <v>56.013474271111619</v>
      </c>
      <c r="BF9" s="74">
        <f>AI9*Constants!$E$13</f>
        <v>0</v>
      </c>
      <c r="BG9" s="74">
        <f t="shared" si="12"/>
        <v>937.00652495732766</v>
      </c>
      <c r="BH9" s="76">
        <f>N9*Constants!$I$14</f>
        <v>0</v>
      </c>
      <c r="BI9" s="76">
        <f>O9*Constants!$I$15</f>
        <v>0</v>
      </c>
      <c r="BJ9" s="76">
        <f>P9*Constants!$I$3</f>
        <v>3646.08</v>
      </c>
      <c r="BK9" s="76">
        <f>Q9*Constants!$I$4</f>
        <v>21.189189189189189</v>
      </c>
      <c r="BL9" s="76">
        <f>R9*Constants!$I$5</f>
        <v>24.90909090909091</v>
      </c>
      <c r="BM9" s="76">
        <f>S9*Constants!$I$6</f>
        <v>3295.090909090909</v>
      </c>
      <c r="BN9" s="76">
        <f>T9*Constants!$I$8</f>
        <v>0</v>
      </c>
      <c r="BO9" s="76">
        <f>U9*Constants!$I$10</f>
        <v>67.972413793103442</v>
      </c>
      <c r="BP9" s="72">
        <f>V9*Constants!$I$12</f>
        <v>0</v>
      </c>
      <c r="BQ9" s="72">
        <f>W9*Constants!$I$11</f>
        <v>473.49767441860462</v>
      </c>
      <c r="BR9" s="72">
        <f>X9*Constants!$I$13</f>
        <v>0</v>
      </c>
      <c r="BS9" s="71">
        <f t="shared" si="13"/>
        <v>7528.7392774008968</v>
      </c>
    </row>
    <row r="10" spans="1:71">
      <c r="A10" s="143">
        <f>Rawdata!Y11</f>
        <v>11.993055555554747</v>
      </c>
      <c r="B10" s="59">
        <v>10</v>
      </c>
      <c r="C10" s="60" t="s">
        <v>188</v>
      </c>
      <c r="D10" s="60" t="s">
        <v>188</v>
      </c>
      <c r="E10" s="60">
        <v>356.68</v>
      </c>
      <c r="F10" s="60">
        <v>1.24</v>
      </c>
      <c r="G10" s="60">
        <v>1.02</v>
      </c>
      <c r="H10" s="60">
        <v>202.56</v>
      </c>
      <c r="I10" s="60" t="s">
        <v>188</v>
      </c>
      <c r="J10" s="60">
        <v>1.33</v>
      </c>
      <c r="K10" s="77">
        <v>0</v>
      </c>
      <c r="L10" s="77">
        <v>2.89</v>
      </c>
      <c r="M10" s="77">
        <v>0</v>
      </c>
      <c r="N10" s="64">
        <f t="shared" si="0"/>
        <v>0</v>
      </c>
      <c r="O10" s="64">
        <f t="shared" si="1"/>
        <v>0</v>
      </c>
      <c r="P10" s="64">
        <f t="shared" si="2"/>
        <v>3566.8</v>
      </c>
      <c r="Q10" s="64">
        <f t="shared" si="3"/>
        <v>12.4</v>
      </c>
      <c r="R10" s="64">
        <f t="shared" si="4"/>
        <v>10.199999999999999</v>
      </c>
      <c r="S10" s="64">
        <f t="shared" si="5"/>
        <v>2025.6</v>
      </c>
      <c r="T10" s="64">
        <f t="shared" si="6"/>
        <v>0</v>
      </c>
      <c r="U10" s="64">
        <f t="shared" si="7"/>
        <v>13.3</v>
      </c>
      <c r="V10" s="64">
        <f t="shared" si="8"/>
        <v>0</v>
      </c>
      <c r="W10" s="64">
        <f t="shared" si="9"/>
        <v>28.900000000000002</v>
      </c>
      <c r="X10" s="64">
        <f t="shared" si="10"/>
        <v>0</v>
      </c>
      <c r="Y10" s="61">
        <f>N10/Constants!$C$14</f>
        <v>0</v>
      </c>
      <c r="Z10" s="61">
        <f>O10/Constants!$C$15</f>
        <v>0</v>
      </c>
      <c r="AA10" s="61">
        <f>P10/Constants!$C$3</f>
        <v>59.397169025811827</v>
      </c>
      <c r="AB10" s="61">
        <f>Q10/Constants!$C$4</f>
        <v>0.16738660907127431</v>
      </c>
      <c r="AC10" s="61">
        <f>R10/Constants!$C$5</f>
        <v>0.11576438542730677</v>
      </c>
      <c r="AD10" s="61">
        <f>S10/Constants!$C$6</f>
        <v>22.989445011916921</v>
      </c>
      <c r="AE10" s="61">
        <f>T10/Constants!$C$8</f>
        <v>0</v>
      </c>
      <c r="AF10" s="61">
        <f>U10/Constants!$C$10</f>
        <v>0.11449724517906337</v>
      </c>
      <c r="AG10" s="61">
        <f>V10/Constants!$C$12</f>
        <v>0</v>
      </c>
      <c r="AH10" s="61">
        <f>W10/Constants!$C$11</f>
        <v>0.33569520269485426</v>
      </c>
      <c r="AI10" s="61">
        <f>X10/Constants!$C$13</f>
        <v>0</v>
      </c>
      <c r="AJ10" s="73">
        <f>Y10*Constants!$D$14</f>
        <v>0</v>
      </c>
      <c r="AK10" s="73">
        <f>Z10*Constants!$D$15</f>
        <v>0</v>
      </c>
      <c r="AL10" s="73">
        <f>AA10*Constants!$D$3</f>
        <v>118.79433805162365</v>
      </c>
      <c r="AM10" s="73">
        <f>AB10*Constants!$D$4</f>
        <v>0.50215982721382291</v>
      </c>
      <c r="AN10" s="73">
        <f>AC10*Constants!$D$5</f>
        <v>0.46305754170922708</v>
      </c>
      <c r="AO10" s="73">
        <f>AD10*Constants!$D$6</f>
        <v>91.957780047667683</v>
      </c>
      <c r="AP10" s="73">
        <f>AE10*Constants!$D$8</f>
        <v>0</v>
      </c>
      <c r="AQ10" s="73">
        <f>AF10*Constants!$D$10</f>
        <v>0.68698347107438029</v>
      </c>
      <c r="AR10" s="73">
        <f>AG10*Constants!$D$12</f>
        <v>0</v>
      </c>
      <c r="AS10" s="73">
        <f>AH10*Constants!$D$11</f>
        <v>1.342780810779417</v>
      </c>
      <c r="AT10" s="73">
        <f>AI10*Constants!$D$13</f>
        <v>0</v>
      </c>
      <c r="AU10" s="73">
        <f t="shared" si="11"/>
        <v>213.7470997500682</v>
      </c>
      <c r="AV10" s="74">
        <f>Y10*Constants!$E$14</f>
        <v>0</v>
      </c>
      <c r="AW10" s="74">
        <f>Z10*Constants!$E$15</f>
        <v>0</v>
      </c>
      <c r="AX10" s="74">
        <f>AA10*Constants!$E$3</f>
        <v>475.17735220649462</v>
      </c>
      <c r="AY10" s="74">
        <f>AB10*Constants!$E$4</f>
        <v>2.3434125269978403</v>
      </c>
      <c r="AZ10" s="74">
        <f>AC10*Constants!$E$5</f>
        <v>2.3152877085461352</v>
      </c>
      <c r="BA10" s="74">
        <f>AD10*Constants!$E$6</f>
        <v>459.78890023833844</v>
      </c>
      <c r="BB10" s="74">
        <f>AE10*Constants!$E$8</f>
        <v>0</v>
      </c>
      <c r="BC10" s="74">
        <f>AF10*Constants!$E$10</f>
        <v>3.6639118457300279</v>
      </c>
      <c r="BD10" s="74">
        <f>AG10*Constants!$E$12</f>
        <v>0</v>
      </c>
      <c r="BE10" s="74">
        <f>AH10*Constants!$E$11</f>
        <v>6.0425136485073763</v>
      </c>
      <c r="BF10" s="74">
        <f>AI10*Constants!$E$13</f>
        <v>0</v>
      </c>
      <c r="BG10" s="74">
        <f t="shared" si="12"/>
        <v>949.33137817461431</v>
      </c>
      <c r="BH10" s="76">
        <f>N10*Constants!$I$14</f>
        <v>0</v>
      </c>
      <c r="BI10" s="76">
        <f>O10*Constants!$I$15</f>
        <v>0</v>
      </c>
      <c r="BJ10" s="76">
        <f>P10*Constants!$I$3</f>
        <v>3804.5866666666666</v>
      </c>
      <c r="BK10" s="76">
        <f>Q10*Constants!$I$4</f>
        <v>18.767567567567568</v>
      </c>
      <c r="BL10" s="76">
        <f>R10*Constants!$I$5</f>
        <v>18.545454545454543</v>
      </c>
      <c r="BM10" s="76">
        <f>S10*Constants!$I$6</f>
        <v>3682.9090909090905</v>
      </c>
      <c r="BN10" s="76">
        <f>T10*Constants!$I$8</f>
        <v>0</v>
      </c>
      <c r="BO10" s="76">
        <f>U10*Constants!$I$10</f>
        <v>29.351724137931036</v>
      </c>
      <c r="BP10" s="72">
        <f>V10*Constants!$I$12</f>
        <v>0</v>
      </c>
      <c r="BQ10" s="72">
        <f>W10*Constants!$I$11</f>
        <v>51.079069767441865</v>
      </c>
      <c r="BR10" s="72">
        <f>X10*Constants!$I$13</f>
        <v>0</v>
      </c>
      <c r="BS10" s="71">
        <f t="shared" si="13"/>
        <v>7605.2395735941527</v>
      </c>
    </row>
    <row r="11" spans="1:71">
      <c r="A11" s="143">
        <f>Rawdata!Y12</f>
        <v>14.045138888890506</v>
      </c>
      <c r="B11" s="59">
        <v>10</v>
      </c>
      <c r="C11" s="60" t="s">
        <v>188</v>
      </c>
      <c r="D11" s="60" t="s">
        <v>188</v>
      </c>
      <c r="E11" s="60">
        <v>345.62</v>
      </c>
      <c r="F11" s="60">
        <v>1.29</v>
      </c>
      <c r="G11" s="60" t="s">
        <v>188</v>
      </c>
      <c r="H11" s="60">
        <v>207.27</v>
      </c>
      <c r="I11" s="60" t="s">
        <v>188</v>
      </c>
      <c r="J11" s="60">
        <v>0.79</v>
      </c>
      <c r="K11" s="77">
        <v>0</v>
      </c>
      <c r="L11" s="77">
        <v>0.66</v>
      </c>
      <c r="M11" s="77">
        <v>0</v>
      </c>
      <c r="N11" s="64">
        <f t="shared" si="0"/>
        <v>0</v>
      </c>
      <c r="O11" s="64">
        <f t="shared" si="1"/>
        <v>0</v>
      </c>
      <c r="P11" s="64">
        <f t="shared" si="2"/>
        <v>3456.2</v>
      </c>
      <c r="Q11" s="64">
        <f t="shared" si="3"/>
        <v>12.9</v>
      </c>
      <c r="R11" s="64">
        <f t="shared" si="4"/>
        <v>0</v>
      </c>
      <c r="S11" s="64">
        <f t="shared" si="5"/>
        <v>2072.7000000000003</v>
      </c>
      <c r="T11" s="64">
        <f t="shared" si="6"/>
        <v>0</v>
      </c>
      <c r="U11" s="64">
        <f t="shared" si="7"/>
        <v>7.9</v>
      </c>
      <c r="V11" s="64">
        <f t="shared" si="8"/>
        <v>0</v>
      </c>
      <c r="W11" s="64">
        <f t="shared" si="9"/>
        <v>6.6000000000000005</v>
      </c>
      <c r="X11" s="64">
        <f t="shared" si="10"/>
        <v>0</v>
      </c>
      <c r="Y11" s="61">
        <f>N11/Constants!$C$14</f>
        <v>0</v>
      </c>
      <c r="Z11" s="61">
        <f>O11/Constants!$C$15</f>
        <v>0</v>
      </c>
      <c r="AA11" s="61">
        <f>P11/Constants!$C$3</f>
        <v>57.555370524562861</v>
      </c>
      <c r="AB11" s="61">
        <f>Q11/Constants!$C$4</f>
        <v>0.17413606911447085</v>
      </c>
      <c r="AC11" s="61">
        <f>R11/Constants!$C$5</f>
        <v>0</v>
      </c>
      <c r="AD11" s="61">
        <f>S11/Constants!$C$6</f>
        <v>23.524004085801842</v>
      </c>
      <c r="AE11" s="61">
        <f>T11/Constants!$C$8</f>
        <v>0</v>
      </c>
      <c r="AF11" s="61">
        <f>U11/Constants!$C$10</f>
        <v>6.8009641873278237E-2</v>
      </c>
      <c r="AG11" s="61">
        <f>V11/Constants!$C$12</f>
        <v>0</v>
      </c>
      <c r="AH11" s="61">
        <f>W11/Constants!$C$11</f>
        <v>7.6663956324776406E-2</v>
      </c>
      <c r="AI11" s="61">
        <f>X11/Constants!$C$13</f>
        <v>0</v>
      </c>
      <c r="AJ11" s="73">
        <f>Y11*Constants!$D$14</f>
        <v>0</v>
      </c>
      <c r="AK11" s="73">
        <f>Z11*Constants!$D$15</f>
        <v>0</v>
      </c>
      <c r="AL11" s="73">
        <f>AA11*Constants!$D$3</f>
        <v>115.11074104912572</v>
      </c>
      <c r="AM11" s="73">
        <f>AB11*Constants!$D$4</f>
        <v>0.52240820734341253</v>
      </c>
      <c r="AN11" s="73">
        <f>AC11*Constants!$D$5</f>
        <v>0</v>
      </c>
      <c r="AO11" s="73">
        <f>AD11*Constants!$D$6</f>
        <v>94.096016343207367</v>
      </c>
      <c r="AP11" s="73">
        <f>AE11*Constants!$D$8</f>
        <v>0</v>
      </c>
      <c r="AQ11" s="73">
        <f>AF11*Constants!$D$10</f>
        <v>0.40805785123966942</v>
      </c>
      <c r="AR11" s="73">
        <f>AG11*Constants!$D$12</f>
        <v>0</v>
      </c>
      <c r="AS11" s="73">
        <f>AH11*Constants!$D$11</f>
        <v>0.30665582529910562</v>
      </c>
      <c r="AT11" s="73">
        <f>AI11*Constants!$D$13</f>
        <v>0</v>
      </c>
      <c r="AU11" s="73">
        <f t="shared" si="11"/>
        <v>210.44387927621528</v>
      </c>
      <c r="AV11" s="74">
        <f>Y11*Constants!$E$14</f>
        <v>0</v>
      </c>
      <c r="AW11" s="74">
        <f>Z11*Constants!$E$15</f>
        <v>0</v>
      </c>
      <c r="AX11" s="74">
        <f>AA11*Constants!$E$3</f>
        <v>460.44296419650288</v>
      </c>
      <c r="AY11" s="74">
        <f>AB11*Constants!$E$4</f>
        <v>2.4379049676025919</v>
      </c>
      <c r="AZ11" s="74">
        <f>AC11*Constants!$E$5</f>
        <v>0</v>
      </c>
      <c r="BA11" s="74">
        <f>AD11*Constants!$E$6</f>
        <v>470.48008171603681</v>
      </c>
      <c r="BB11" s="74">
        <f>AE11*Constants!$E$8</f>
        <v>0</v>
      </c>
      <c r="BC11" s="74">
        <f>AF11*Constants!$E$10</f>
        <v>2.1763085399449036</v>
      </c>
      <c r="BD11" s="74">
        <f>AG11*Constants!$E$12</f>
        <v>0</v>
      </c>
      <c r="BE11" s="74">
        <f>AH11*Constants!$E$11</f>
        <v>1.3799512138459753</v>
      </c>
      <c r="BF11" s="74">
        <f>AI11*Constants!$E$13</f>
        <v>0</v>
      </c>
      <c r="BG11" s="74">
        <f t="shared" si="12"/>
        <v>936.91721063393322</v>
      </c>
      <c r="BH11" s="76">
        <f>N11*Constants!$I$14</f>
        <v>0</v>
      </c>
      <c r="BI11" s="76">
        <f>O11*Constants!$I$15</f>
        <v>0</v>
      </c>
      <c r="BJ11" s="76">
        <f>P11*Constants!$I$3</f>
        <v>3686.6133333333332</v>
      </c>
      <c r="BK11" s="76">
        <f>Q11*Constants!$I$4</f>
        <v>19.524324324324326</v>
      </c>
      <c r="BL11" s="76">
        <f>R11*Constants!$I$5</f>
        <v>0</v>
      </c>
      <c r="BM11" s="76">
        <f>S11*Constants!$I$6</f>
        <v>3768.545454545455</v>
      </c>
      <c r="BN11" s="76">
        <f>T11*Constants!$I$8</f>
        <v>0</v>
      </c>
      <c r="BO11" s="76">
        <f>U11*Constants!$I$10</f>
        <v>17.434482758620689</v>
      </c>
      <c r="BP11" s="72">
        <f>V11*Constants!$I$12</f>
        <v>0</v>
      </c>
      <c r="BQ11" s="72">
        <f>W11*Constants!$I$11</f>
        <v>11.665116279069769</v>
      </c>
      <c r="BR11" s="72">
        <f>X11*Constants!$I$13</f>
        <v>0</v>
      </c>
      <c r="BS11" s="71">
        <f t="shared" si="13"/>
        <v>7503.7827112408031</v>
      </c>
    </row>
    <row r="12" spans="1:71">
      <c r="A12" s="143">
        <f>Rawdata!Y13</f>
        <v>16.038194444445253</v>
      </c>
      <c r="B12" s="59">
        <v>10</v>
      </c>
      <c r="C12" s="60" t="s">
        <v>188</v>
      </c>
      <c r="D12" s="60" t="s">
        <v>188</v>
      </c>
      <c r="E12" s="60">
        <v>341.9</v>
      </c>
      <c r="F12" s="60">
        <v>1.27</v>
      </c>
      <c r="G12" s="60" t="s">
        <v>188</v>
      </c>
      <c r="H12" s="60">
        <v>213.82</v>
      </c>
      <c r="I12" s="60" t="s">
        <v>188</v>
      </c>
      <c r="J12" s="60" t="s">
        <v>188</v>
      </c>
      <c r="K12" s="77">
        <v>0</v>
      </c>
      <c r="L12" s="77">
        <v>1.36</v>
      </c>
      <c r="M12" s="77">
        <v>0</v>
      </c>
      <c r="N12" s="64">
        <f t="shared" si="0"/>
        <v>0</v>
      </c>
      <c r="O12" s="64">
        <f t="shared" si="1"/>
        <v>0</v>
      </c>
      <c r="P12" s="64">
        <f t="shared" si="2"/>
        <v>3419</v>
      </c>
      <c r="Q12" s="64">
        <f t="shared" si="3"/>
        <v>12.7</v>
      </c>
      <c r="R12" s="64">
        <f t="shared" si="4"/>
        <v>0</v>
      </c>
      <c r="S12" s="64">
        <f t="shared" si="5"/>
        <v>2138.1999999999998</v>
      </c>
      <c r="T12" s="64">
        <f t="shared" si="6"/>
        <v>0</v>
      </c>
      <c r="U12" s="64">
        <f t="shared" si="7"/>
        <v>0</v>
      </c>
      <c r="V12" s="64">
        <f t="shared" si="8"/>
        <v>0</v>
      </c>
      <c r="W12" s="64">
        <f t="shared" si="9"/>
        <v>13.600000000000001</v>
      </c>
      <c r="X12" s="64">
        <f t="shared" si="10"/>
        <v>0</v>
      </c>
      <c r="Y12" s="61">
        <f>N12/Constants!$C$14</f>
        <v>0</v>
      </c>
      <c r="Z12" s="61">
        <f>O12/Constants!$C$15</f>
        <v>0</v>
      </c>
      <c r="AA12" s="61">
        <f>P12/Constants!$C$3</f>
        <v>56.935886761032478</v>
      </c>
      <c r="AB12" s="61">
        <f>Q12/Constants!$C$4</f>
        <v>0.17143628509719222</v>
      </c>
      <c r="AC12" s="61">
        <f>R12/Constants!$C$5</f>
        <v>0</v>
      </c>
      <c r="AD12" s="61">
        <f>S12/Constants!$C$6</f>
        <v>24.267393031437972</v>
      </c>
      <c r="AE12" s="61">
        <f>T12/Constants!$C$8</f>
        <v>0</v>
      </c>
      <c r="AF12" s="61">
        <f>U12/Constants!$C$10</f>
        <v>0</v>
      </c>
      <c r="AG12" s="61">
        <f>V12/Constants!$C$12</f>
        <v>0</v>
      </c>
      <c r="AH12" s="61">
        <f>W12/Constants!$C$11</f>
        <v>0.1579742130328726</v>
      </c>
      <c r="AI12" s="61">
        <f>X12/Constants!$C$13</f>
        <v>0</v>
      </c>
      <c r="AJ12" s="73">
        <f>Y12*Constants!$D$14</f>
        <v>0</v>
      </c>
      <c r="AK12" s="73">
        <f>Z12*Constants!$D$15</f>
        <v>0</v>
      </c>
      <c r="AL12" s="73">
        <f>AA12*Constants!$D$3</f>
        <v>113.87177352206496</v>
      </c>
      <c r="AM12" s="73">
        <f>AB12*Constants!$D$4</f>
        <v>0.51430885529157666</v>
      </c>
      <c r="AN12" s="73">
        <f>AC12*Constants!$D$5</f>
        <v>0</v>
      </c>
      <c r="AO12" s="73">
        <f>AD12*Constants!$D$6</f>
        <v>97.06957212575189</v>
      </c>
      <c r="AP12" s="73">
        <f>AE12*Constants!$D$8</f>
        <v>0</v>
      </c>
      <c r="AQ12" s="73">
        <f>AF12*Constants!$D$10</f>
        <v>0</v>
      </c>
      <c r="AR12" s="73">
        <f>AG12*Constants!$D$12</f>
        <v>0</v>
      </c>
      <c r="AS12" s="73">
        <f>AH12*Constants!$D$11</f>
        <v>0.63189685213149038</v>
      </c>
      <c r="AT12" s="73">
        <f>AI12*Constants!$D$13</f>
        <v>0</v>
      </c>
      <c r="AU12" s="73">
        <f t="shared" si="11"/>
        <v>212.0875513552399</v>
      </c>
      <c r="AV12" s="74">
        <f>Y12*Constants!$E$14</f>
        <v>0</v>
      </c>
      <c r="AW12" s="74">
        <f>Z12*Constants!$E$15</f>
        <v>0</v>
      </c>
      <c r="AX12" s="74">
        <f>AA12*Constants!$E$3</f>
        <v>455.48709408825982</v>
      </c>
      <c r="AY12" s="74">
        <f>AB12*Constants!$E$4</f>
        <v>2.4001079913606911</v>
      </c>
      <c r="AZ12" s="74">
        <f>AC12*Constants!$E$5</f>
        <v>0</v>
      </c>
      <c r="BA12" s="74">
        <f>AD12*Constants!$E$6</f>
        <v>485.34786062875946</v>
      </c>
      <c r="BB12" s="74">
        <f>AE12*Constants!$E$8</f>
        <v>0</v>
      </c>
      <c r="BC12" s="74">
        <f>AF12*Constants!$E$10</f>
        <v>0</v>
      </c>
      <c r="BD12" s="74">
        <f>AG12*Constants!$E$12</f>
        <v>0</v>
      </c>
      <c r="BE12" s="74">
        <f>AH12*Constants!$E$11</f>
        <v>2.8435358345917066</v>
      </c>
      <c r="BF12" s="74">
        <f>AI12*Constants!$E$13</f>
        <v>0</v>
      </c>
      <c r="BG12" s="74">
        <f t="shared" si="12"/>
        <v>946.07859854297169</v>
      </c>
      <c r="BH12" s="76">
        <f>N12*Constants!$I$14</f>
        <v>0</v>
      </c>
      <c r="BI12" s="76">
        <f>O12*Constants!$I$15</f>
        <v>0</v>
      </c>
      <c r="BJ12" s="76">
        <f>P12*Constants!$I$3</f>
        <v>3646.9333333333334</v>
      </c>
      <c r="BK12" s="76">
        <f>Q12*Constants!$I$4</f>
        <v>19.221621621621622</v>
      </c>
      <c r="BL12" s="76">
        <f>R12*Constants!$I$5</f>
        <v>0</v>
      </c>
      <c r="BM12" s="76">
        <f>S12*Constants!$I$6</f>
        <v>3887.6363636363631</v>
      </c>
      <c r="BN12" s="76">
        <f>T12*Constants!$I$8</f>
        <v>0</v>
      </c>
      <c r="BO12" s="76">
        <f>U12*Constants!$I$10</f>
        <v>0</v>
      </c>
      <c r="BP12" s="72">
        <f>V12*Constants!$I$12</f>
        <v>0</v>
      </c>
      <c r="BQ12" s="72">
        <f>W12*Constants!$I$11</f>
        <v>24.037209302325586</v>
      </c>
      <c r="BR12" s="72">
        <f>X12*Constants!$I$13</f>
        <v>0</v>
      </c>
      <c r="BS12" s="71">
        <f t="shared" si="13"/>
        <v>7577.8285278936437</v>
      </c>
    </row>
    <row r="13" spans="1:71">
      <c r="A13" s="143">
        <f>Rawdata!Y14</f>
        <v>18.993055555554747</v>
      </c>
      <c r="B13" s="59">
        <v>10</v>
      </c>
      <c r="C13" s="60" t="s">
        <v>188</v>
      </c>
      <c r="D13" s="60" t="s">
        <v>188</v>
      </c>
      <c r="E13" s="60">
        <v>342.07</v>
      </c>
      <c r="F13" s="60">
        <v>1.26</v>
      </c>
      <c r="G13" s="60" t="s">
        <v>188</v>
      </c>
      <c r="H13" s="60">
        <v>214.54</v>
      </c>
      <c r="I13" s="60" t="s">
        <v>188</v>
      </c>
      <c r="J13" s="60" t="s">
        <v>188</v>
      </c>
      <c r="K13" s="77">
        <v>0</v>
      </c>
      <c r="L13" s="77">
        <v>3.49</v>
      </c>
      <c r="M13" s="77">
        <v>0</v>
      </c>
      <c r="N13" s="64">
        <f t="shared" si="0"/>
        <v>0</v>
      </c>
      <c r="O13" s="64">
        <f t="shared" si="1"/>
        <v>0</v>
      </c>
      <c r="P13" s="64">
        <f t="shared" si="2"/>
        <v>3420.7</v>
      </c>
      <c r="Q13" s="64">
        <f t="shared" si="3"/>
        <v>12.6</v>
      </c>
      <c r="R13" s="64">
        <f t="shared" si="4"/>
        <v>0</v>
      </c>
      <c r="S13" s="64">
        <f t="shared" si="5"/>
        <v>2145.4</v>
      </c>
      <c r="T13" s="64">
        <f t="shared" si="6"/>
        <v>0</v>
      </c>
      <c r="U13" s="64">
        <f t="shared" si="7"/>
        <v>0</v>
      </c>
      <c r="V13" s="64">
        <f t="shared" si="8"/>
        <v>0</v>
      </c>
      <c r="W13" s="64">
        <f t="shared" si="9"/>
        <v>34.900000000000006</v>
      </c>
      <c r="X13" s="64">
        <f t="shared" si="10"/>
        <v>0</v>
      </c>
      <c r="Y13" s="61">
        <f>N13/Constants!$C$14</f>
        <v>0</v>
      </c>
      <c r="Z13" s="61">
        <f>O13/Constants!$C$15</f>
        <v>0</v>
      </c>
      <c r="AA13" s="61">
        <f>P13/Constants!$C$3</f>
        <v>56.964196502914241</v>
      </c>
      <c r="AB13" s="61">
        <f>Q13/Constants!$C$4</f>
        <v>0.17008639308855292</v>
      </c>
      <c r="AC13" s="61">
        <f>R13/Constants!$C$5</f>
        <v>0</v>
      </c>
      <c r="AD13" s="61">
        <f>S13/Constants!$C$6</f>
        <v>24.349109068210193</v>
      </c>
      <c r="AE13" s="61">
        <f>T13/Constants!$C$8</f>
        <v>0</v>
      </c>
      <c r="AF13" s="61">
        <f>U13/Constants!$C$10</f>
        <v>0</v>
      </c>
      <c r="AG13" s="61">
        <f>V13/Constants!$C$12</f>
        <v>0</v>
      </c>
      <c r="AH13" s="61">
        <f>W13/Constants!$C$11</f>
        <v>0.405389708444651</v>
      </c>
      <c r="AI13" s="61">
        <f>X13/Constants!$C$13</f>
        <v>0</v>
      </c>
      <c r="AJ13" s="73">
        <f>Y13*Constants!$D$14</f>
        <v>0</v>
      </c>
      <c r="AK13" s="73">
        <f>Z13*Constants!$D$15</f>
        <v>0</v>
      </c>
      <c r="AL13" s="73">
        <f>AA13*Constants!$D$3</f>
        <v>113.92839300582848</v>
      </c>
      <c r="AM13" s="73">
        <f>AB13*Constants!$D$4</f>
        <v>0.51025917926565878</v>
      </c>
      <c r="AN13" s="73">
        <f>AC13*Constants!$D$5</f>
        <v>0</v>
      </c>
      <c r="AO13" s="73">
        <f>AD13*Constants!$D$6</f>
        <v>97.396436272840774</v>
      </c>
      <c r="AP13" s="73">
        <f>AE13*Constants!$D$8</f>
        <v>0</v>
      </c>
      <c r="AQ13" s="73">
        <f>AF13*Constants!$D$10</f>
        <v>0</v>
      </c>
      <c r="AR13" s="73">
        <f>AG13*Constants!$D$12</f>
        <v>0</v>
      </c>
      <c r="AS13" s="73">
        <f>AH13*Constants!$D$11</f>
        <v>1.621558833778604</v>
      </c>
      <c r="AT13" s="73">
        <f>AI13*Constants!$D$13</f>
        <v>0</v>
      </c>
      <c r="AU13" s="73">
        <f t="shared" si="11"/>
        <v>213.45664729171352</v>
      </c>
      <c r="AV13" s="74">
        <f>Y13*Constants!$E$14</f>
        <v>0</v>
      </c>
      <c r="AW13" s="74">
        <f>Z13*Constants!$E$15</f>
        <v>0</v>
      </c>
      <c r="AX13" s="74">
        <f>AA13*Constants!$E$3</f>
        <v>455.71357202331393</v>
      </c>
      <c r="AY13" s="74">
        <f>AB13*Constants!$E$4</f>
        <v>2.3812095032397407</v>
      </c>
      <c r="AZ13" s="74">
        <f>AC13*Constants!$E$5</f>
        <v>0</v>
      </c>
      <c r="BA13" s="74">
        <f>AD13*Constants!$E$6</f>
        <v>486.98218136420388</v>
      </c>
      <c r="BB13" s="74">
        <f>AE13*Constants!$E$8</f>
        <v>0</v>
      </c>
      <c r="BC13" s="74">
        <f>AF13*Constants!$E$10</f>
        <v>0</v>
      </c>
      <c r="BD13" s="74">
        <f>AG13*Constants!$E$12</f>
        <v>0</v>
      </c>
      <c r="BE13" s="74">
        <f>AH13*Constants!$E$11</f>
        <v>7.2970147520037179</v>
      </c>
      <c r="BF13" s="74">
        <f>AI13*Constants!$E$13</f>
        <v>0</v>
      </c>
      <c r="BG13" s="74">
        <f t="shared" si="12"/>
        <v>952.37397764276136</v>
      </c>
      <c r="BH13" s="76">
        <f>N13*Constants!$I$14</f>
        <v>0</v>
      </c>
      <c r="BI13" s="76">
        <f>O13*Constants!$I$15</f>
        <v>0</v>
      </c>
      <c r="BJ13" s="76">
        <f>P13*Constants!$I$3</f>
        <v>3648.7466666666664</v>
      </c>
      <c r="BK13" s="76">
        <f>Q13*Constants!$I$4</f>
        <v>19.070270270270271</v>
      </c>
      <c r="BL13" s="76">
        <f>R13*Constants!$I$5</f>
        <v>0</v>
      </c>
      <c r="BM13" s="76">
        <f>S13*Constants!$I$6</f>
        <v>3900.727272727273</v>
      </c>
      <c r="BN13" s="76">
        <f>T13*Constants!$I$8</f>
        <v>0</v>
      </c>
      <c r="BO13" s="76">
        <f>U13*Constants!$I$10</f>
        <v>0</v>
      </c>
      <c r="BP13" s="72">
        <f>V13*Constants!$I$12</f>
        <v>0</v>
      </c>
      <c r="BQ13" s="72">
        <f>W13*Constants!$I$11</f>
        <v>61.683720930232568</v>
      </c>
      <c r="BR13" s="72">
        <f>X13*Constants!$I$13</f>
        <v>0</v>
      </c>
      <c r="BS13" s="71">
        <f t="shared" si="13"/>
        <v>7630.2279305944421</v>
      </c>
    </row>
    <row r="14" spans="1:71">
      <c r="A14" s="143">
        <f>Rawdata!Y15</f>
        <v>21.045138888890506</v>
      </c>
      <c r="B14" s="59">
        <v>10</v>
      </c>
      <c r="C14" s="60" t="s">
        <v>188</v>
      </c>
      <c r="D14" s="60" t="s">
        <v>188</v>
      </c>
      <c r="E14" s="60">
        <v>342.37</v>
      </c>
      <c r="F14" s="60">
        <v>1.17</v>
      </c>
      <c r="G14" s="60" t="s">
        <v>188</v>
      </c>
      <c r="H14" s="60">
        <v>213.65</v>
      </c>
      <c r="I14" s="60" t="s">
        <v>188</v>
      </c>
      <c r="J14" s="60" t="s">
        <v>188</v>
      </c>
      <c r="K14" s="77">
        <v>0</v>
      </c>
      <c r="L14" s="77">
        <v>4.3</v>
      </c>
      <c r="M14" s="77">
        <v>0</v>
      </c>
      <c r="N14" s="64">
        <f t="shared" si="0"/>
        <v>0</v>
      </c>
      <c r="O14" s="64">
        <f t="shared" si="1"/>
        <v>0</v>
      </c>
      <c r="P14" s="64">
        <f t="shared" si="2"/>
        <v>3423.7</v>
      </c>
      <c r="Q14" s="64">
        <f t="shared" si="3"/>
        <v>11.7</v>
      </c>
      <c r="R14" s="64">
        <f t="shared" si="4"/>
        <v>0</v>
      </c>
      <c r="S14" s="64">
        <f t="shared" si="5"/>
        <v>2136.5</v>
      </c>
      <c r="T14" s="64">
        <f t="shared" si="6"/>
        <v>0</v>
      </c>
      <c r="U14" s="64">
        <f t="shared" si="7"/>
        <v>0</v>
      </c>
      <c r="V14" s="64">
        <f t="shared" si="8"/>
        <v>0</v>
      </c>
      <c r="W14" s="64">
        <f t="shared" si="9"/>
        <v>43</v>
      </c>
      <c r="X14" s="64">
        <f t="shared" si="10"/>
        <v>0</v>
      </c>
      <c r="Y14" s="61">
        <f>N14/Constants!$C$14</f>
        <v>0</v>
      </c>
      <c r="Z14" s="61">
        <f>O14/Constants!$C$15</f>
        <v>0</v>
      </c>
      <c r="AA14" s="61">
        <f>P14/Constants!$C$3</f>
        <v>57.014154870940885</v>
      </c>
      <c r="AB14" s="61">
        <f>Q14/Constants!$C$4</f>
        <v>0.15793736501079914</v>
      </c>
      <c r="AC14" s="61">
        <f>R14/Constants!$C$5</f>
        <v>0</v>
      </c>
      <c r="AD14" s="61">
        <f>S14/Constants!$C$6</f>
        <v>24.24809896720009</v>
      </c>
      <c r="AE14" s="61">
        <f>T14/Constants!$C$8</f>
        <v>0</v>
      </c>
      <c r="AF14" s="61">
        <f>U14/Constants!$C$10</f>
        <v>0</v>
      </c>
      <c r="AG14" s="61">
        <f>V14/Constants!$C$12</f>
        <v>0</v>
      </c>
      <c r="AH14" s="61">
        <f>W14/Constants!$C$11</f>
        <v>0.49947729120687651</v>
      </c>
      <c r="AI14" s="61">
        <f>X14/Constants!$C$13</f>
        <v>0</v>
      </c>
      <c r="AJ14" s="73">
        <f>Y14*Constants!$D$14</f>
        <v>0</v>
      </c>
      <c r="AK14" s="73">
        <f>Z14*Constants!$D$15</f>
        <v>0</v>
      </c>
      <c r="AL14" s="73">
        <f>AA14*Constants!$D$3</f>
        <v>114.02830974188177</v>
      </c>
      <c r="AM14" s="73">
        <f>AB14*Constants!$D$4</f>
        <v>0.47381209503239741</v>
      </c>
      <c r="AN14" s="73">
        <f>AC14*Constants!$D$5</f>
        <v>0</v>
      </c>
      <c r="AO14" s="73">
        <f>AD14*Constants!$D$6</f>
        <v>96.992395868800358</v>
      </c>
      <c r="AP14" s="73">
        <f>AE14*Constants!$D$8</f>
        <v>0</v>
      </c>
      <c r="AQ14" s="73">
        <f>AF14*Constants!$D$10</f>
        <v>0</v>
      </c>
      <c r="AR14" s="73">
        <f>AG14*Constants!$D$12</f>
        <v>0</v>
      </c>
      <c r="AS14" s="73">
        <f>AH14*Constants!$D$11</f>
        <v>1.997909164827506</v>
      </c>
      <c r="AT14" s="73">
        <f>AI14*Constants!$D$13</f>
        <v>0</v>
      </c>
      <c r="AU14" s="73">
        <f t="shared" si="11"/>
        <v>213.49242687054206</v>
      </c>
      <c r="AV14" s="74">
        <f>Y14*Constants!$E$14</f>
        <v>0</v>
      </c>
      <c r="AW14" s="74">
        <f>Z14*Constants!$E$15</f>
        <v>0</v>
      </c>
      <c r="AX14" s="74">
        <f>AA14*Constants!$E$3</f>
        <v>456.11323896752708</v>
      </c>
      <c r="AY14" s="74">
        <f>AB14*Constants!$E$4</f>
        <v>2.2111231101511879</v>
      </c>
      <c r="AZ14" s="74">
        <f>AC14*Constants!$E$5</f>
        <v>0</v>
      </c>
      <c r="BA14" s="74">
        <f>AD14*Constants!$E$6</f>
        <v>484.9619793440018</v>
      </c>
      <c r="BB14" s="74">
        <f>AE14*Constants!$E$8</f>
        <v>0</v>
      </c>
      <c r="BC14" s="74">
        <f>AF14*Constants!$E$10</f>
        <v>0</v>
      </c>
      <c r="BD14" s="74">
        <f>AG14*Constants!$E$12</f>
        <v>0</v>
      </c>
      <c r="BE14" s="74">
        <f>AH14*Constants!$E$11</f>
        <v>8.9905912417237772</v>
      </c>
      <c r="BF14" s="74">
        <f>AI14*Constants!$E$13</f>
        <v>0</v>
      </c>
      <c r="BG14" s="74">
        <f t="shared" si="12"/>
        <v>952.27693266340384</v>
      </c>
      <c r="BH14" s="76">
        <f>N14*Constants!$I$14</f>
        <v>0</v>
      </c>
      <c r="BI14" s="76">
        <f>O14*Constants!$I$15</f>
        <v>0</v>
      </c>
      <c r="BJ14" s="76">
        <f>P14*Constants!$I$3</f>
        <v>3651.9466666666663</v>
      </c>
      <c r="BK14" s="76">
        <f>Q14*Constants!$I$4</f>
        <v>17.708108108108107</v>
      </c>
      <c r="BL14" s="76">
        <f>R14*Constants!$I$5</f>
        <v>0</v>
      </c>
      <c r="BM14" s="76">
        <f>S14*Constants!$I$6</f>
        <v>3884.5454545454545</v>
      </c>
      <c r="BN14" s="76">
        <f>T14*Constants!$I$8</f>
        <v>0</v>
      </c>
      <c r="BO14" s="76">
        <f>U14*Constants!$I$10</f>
        <v>0</v>
      </c>
      <c r="BP14" s="72">
        <f>V14*Constants!$I$12</f>
        <v>0</v>
      </c>
      <c r="BQ14" s="72">
        <f>W14*Constants!$I$11</f>
        <v>76</v>
      </c>
      <c r="BR14" s="72">
        <f>X14*Constants!$I$13</f>
        <v>0</v>
      </c>
      <c r="BS14" s="71">
        <f t="shared" si="13"/>
        <v>7630.2002293202295</v>
      </c>
    </row>
    <row r="15" spans="1:71">
      <c r="A15" s="143">
        <f>Rawdata!Y16</f>
        <v>23.013888888890506</v>
      </c>
      <c r="B15" s="59">
        <v>10</v>
      </c>
      <c r="C15" s="60" t="s">
        <v>188</v>
      </c>
      <c r="D15" s="60" t="s">
        <v>188</v>
      </c>
      <c r="E15" s="60">
        <v>342.19</v>
      </c>
      <c r="F15" s="60">
        <v>0.97</v>
      </c>
      <c r="G15" s="60" t="s">
        <v>188</v>
      </c>
      <c r="H15" s="60">
        <v>211.03</v>
      </c>
      <c r="I15" s="60" t="s">
        <v>188</v>
      </c>
      <c r="J15" s="60" t="s">
        <v>188</v>
      </c>
      <c r="K15" s="77">
        <v>0</v>
      </c>
      <c r="L15" s="77">
        <v>5.93</v>
      </c>
      <c r="M15" s="77">
        <v>0</v>
      </c>
      <c r="N15" s="64">
        <f t="shared" si="0"/>
        <v>0</v>
      </c>
      <c r="O15" s="64">
        <f t="shared" si="1"/>
        <v>0</v>
      </c>
      <c r="P15" s="64">
        <f t="shared" si="2"/>
        <v>3421.9</v>
      </c>
      <c r="Q15" s="64">
        <f t="shared" si="3"/>
        <v>9.6999999999999993</v>
      </c>
      <c r="R15" s="64">
        <f t="shared" si="4"/>
        <v>0</v>
      </c>
      <c r="S15" s="64">
        <f t="shared" si="5"/>
        <v>2110.3000000000002</v>
      </c>
      <c r="T15" s="64">
        <f t="shared" si="6"/>
        <v>0</v>
      </c>
      <c r="U15" s="64">
        <f t="shared" si="7"/>
        <v>0</v>
      </c>
      <c r="V15" s="64">
        <f t="shared" si="8"/>
        <v>0</v>
      </c>
      <c r="W15" s="64">
        <f t="shared" si="9"/>
        <v>59.3</v>
      </c>
      <c r="X15" s="64">
        <f t="shared" si="10"/>
        <v>0</v>
      </c>
      <c r="Y15" s="61">
        <f>N15/Constants!$C$14</f>
        <v>0</v>
      </c>
      <c r="Z15" s="61">
        <f>O15/Constants!$C$15</f>
        <v>0</v>
      </c>
      <c r="AA15" s="61">
        <f>P15/Constants!$C$3</f>
        <v>56.984179850124903</v>
      </c>
      <c r="AB15" s="61">
        <f>Q15/Constants!$C$4</f>
        <v>0.13093952483801297</v>
      </c>
      <c r="AC15" s="61">
        <f>R15/Constants!$C$5</f>
        <v>0</v>
      </c>
      <c r="AD15" s="61">
        <f>S15/Constants!$C$6</f>
        <v>23.950743388945639</v>
      </c>
      <c r="AE15" s="61">
        <f>T15/Constants!$C$8</f>
        <v>0</v>
      </c>
      <c r="AF15" s="61">
        <f>U15/Constants!$C$10</f>
        <v>0</v>
      </c>
      <c r="AG15" s="61">
        <f>V15/Constants!$C$12</f>
        <v>0</v>
      </c>
      <c r="AH15" s="61">
        <f>W15/Constants!$C$11</f>
        <v>0.68881403182715761</v>
      </c>
      <c r="AI15" s="61">
        <f>X15/Constants!$C$13</f>
        <v>0</v>
      </c>
      <c r="AJ15" s="73">
        <f>Y15*Constants!$D$14</f>
        <v>0</v>
      </c>
      <c r="AK15" s="73">
        <f>Z15*Constants!$D$15</f>
        <v>0</v>
      </c>
      <c r="AL15" s="73">
        <f>AA15*Constants!$D$3</f>
        <v>113.96835970024981</v>
      </c>
      <c r="AM15" s="73">
        <f>AB15*Constants!$D$4</f>
        <v>0.3928185745140389</v>
      </c>
      <c r="AN15" s="73">
        <f>AC15*Constants!$D$5</f>
        <v>0</v>
      </c>
      <c r="AO15" s="73">
        <f>AD15*Constants!$D$6</f>
        <v>95.802973555782557</v>
      </c>
      <c r="AP15" s="73">
        <f>AE15*Constants!$D$8</f>
        <v>0</v>
      </c>
      <c r="AQ15" s="73">
        <f>AF15*Constants!$D$10</f>
        <v>0</v>
      </c>
      <c r="AR15" s="73">
        <f>AG15*Constants!$D$12</f>
        <v>0</v>
      </c>
      <c r="AS15" s="73">
        <f>AH15*Constants!$D$11</f>
        <v>2.7552561273086305</v>
      </c>
      <c r="AT15" s="73">
        <f>AI15*Constants!$D$13</f>
        <v>0</v>
      </c>
      <c r="AU15" s="73">
        <f t="shared" si="11"/>
        <v>212.91940795785504</v>
      </c>
      <c r="AV15" s="74">
        <f>Y15*Constants!$E$14</f>
        <v>0</v>
      </c>
      <c r="AW15" s="74">
        <f>Z15*Constants!$E$15</f>
        <v>0</v>
      </c>
      <c r="AX15" s="74">
        <f>AA15*Constants!$E$3</f>
        <v>455.87343880099922</v>
      </c>
      <c r="AY15" s="74">
        <f>AB15*Constants!$E$4</f>
        <v>1.8331533477321815</v>
      </c>
      <c r="AZ15" s="74">
        <f>AC15*Constants!$E$5</f>
        <v>0</v>
      </c>
      <c r="BA15" s="74">
        <f>AD15*Constants!$E$6</f>
        <v>479.01486777891279</v>
      </c>
      <c r="BB15" s="74">
        <f>AE15*Constants!$E$8</f>
        <v>0</v>
      </c>
      <c r="BC15" s="74">
        <f>AF15*Constants!$E$10</f>
        <v>0</v>
      </c>
      <c r="BD15" s="74">
        <f>AG15*Constants!$E$12</f>
        <v>0</v>
      </c>
      <c r="BE15" s="74">
        <f>AH15*Constants!$E$11</f>
        <v>12.398652572888837</v>
      </c>
      <c r="BF15" s="74">
        <f>AI15*Constants!$E$13</f>
        <v>0</v>
      </c>
      <c r="BG15" s="74">
        <f t="shared" si="12"/>
        <v>949.12011250053308</v>
      </c>
      <c r="BH15" s="76">
        <f>N15*Constants!$I$14</f>
        <v>0</v>
      </c>
      <c r="BI15" s="76">
        <f>O15*Constants!$I$15</f>
        <v>0</v>
      </c>
      <c r="BJ15" s="76">
        <f>P15*Constants!$I$3</f>
        <v>3650.0266666666666</v>
      </c>
      <c r="BK15" s="76">
        <f>Q15*Constants!$I$4</f>
        <v>14.68108108108108</v>
      </c>
      <c r="BL15" s="76">
        <f>R15*Constants!$I$5</f>
        <v>0</v>
      </c>
      <c r="BM15" s="76">
        <f>S15*Constants!$I$6</f>
        <v>3836.909090909091</v>
      </c>
      <c r="BN15" s="76">
        <f>T15*Constants!$I$8</f>
        <v>0</v>
      </c>
      <c r="BO15" s="76">
        <f>U15*Constants!$I$10</f>
        <v>0</v>
      </c>
      <c r="BP15" s="72">
        <f>V15*Constants!$I$12</f>
        <v>0</v>
      </c>
      <c r="BQ15" s="72">
        <f>W15*Constants!$I$11</f>
        <v>104.8093023255814</v>
      </c>
      <c r="BR15" s="72">
        <f>X15*Constants!$I$13</f>
        <v>0</v>
      </c>
      <c r="BS15" s="71">
        <f t="shared" si="13"/>
        <v>7606.4261409824203</v>
      </c>
    </row>
    <row r="16" spans="1:71">
      <c r="A16" s="143">
        <f>Rawdata!Y17</f>
        <v>26.003472222226264</v>
      </c>
      <c r="B16" s="59">
        <v>10</v>
      </c>
      <c r="C16" s="60" t="s">
        <v>188</v>
      </c>
      <c r="D16" s="60" t="s">
        <v>188</v>
      </c>
      <c r="E16" s="60">
        <v>332.07</v>
      </c>
      <c r="F16" s="60">
        <v>1.1499999999999999</v>
      </c>
      <c r="G16" s="60" t="s">
        <v>188</v>
      </c>
      <c r="H16" s="60">
        <v>202.66</v>
      </c>
      <c r="I16" s="60" t="s">
        <v>188</v>
      </c>
      <c r="J16" s="60" t="s">
        <v>188</v>
      </c>
      <c r="K16" s="77">
        <v>0</v>
      </c>
      <c r="L16" s="77">
        <v>8.41</v>
      </c>
      <c r="M16" s="77">
        <v>0</v>
      </c>
      <c r="N16" s="64">
        <f t="shared" si="0"/>
        <v>0</v>
      </c>
      <c r="O16" s="64">
        <f t="shared" si="1"/>
        <v>0</v>
      </c>
      <c r="P16" s="64">
        <f t="shared" si="2"/>
        <v>3320.7</v>
      </c>
      <c r="Q16" s="64">
        <f t="shared" si="3"/>
        <v>11.5</v>
      </c>
      <c r="R16" s="64">
        <f t="shared" si="4"/>
        <v>0</v>
      </c>
      <c r="S16" s="64">
        <f t="shared" si="5"/>
        <v>2026.6</v>
      </c>
      <c r="T16" s="64">
        <f t="shared" si="6"/>
        <v>0</v>
      </c>
      <c r="U16" s="64">
        <f t="shared" si="7"/>
        <v>0</v>
      </c>
      <c r="V16" s="64">
        <f t="shared" si="8"/>
        <v>0</v>
      </c>
      <c r="W16" s="64">
        <f t="shared" si="9"/>
        <v>84.1</v>
      </c>
      <c r="X16" s="64">
        <f t="shared" si="10"/>
        <v>0</v>
      </c>
      <c r="Y16" s="61">
        <f>N16/Constants!$C$14</f>
        <v>0</v>
      </c>
      <c r="Z16" s="61">
        <f>O16/Constants!$C$15</f>
        <v>0</v>
      </c>
      <c r="AA16" s="61">
        <f>P16/Constants!$C$3</f>
        <v>55.298917568692758</v>
      </c>
      <c r="AB16" s="61">
        <f>Q16/Constants!$C$4</f>
        <v>0.15523758099352053</v>
      </c>
      <c r="AC16" s="61">
        <f>R16/Constants!$C$5</f>
        <v>0</v>
      </c>
      <c r="AD16" s="61">
        <f>S16/Constants!$C$6</f>
        <v>23.000794461468619</v>
      </c>
      <c r="AE16" s="61">
        <f>T16/Constants!$C$8</f>
        <v>0</v>
      </c>
      <c r="AF16" s="61">
        <f>U16/Constants!$C$10</f>
        <v>0</v>
      </c>
      <c r="AG16" s="61">
        <f>V16/Constants!$C$12</f>
        <v>0</v>
      </c>
      <c r="AH16" s="61">
        <f>W16/Constants!$C$11</f>
        <v>0.97688465559298399</v>
      </c>
      <c r="AI16" s="61">
        <f>X16/Constants!$C$13</f>
        <v>0</v>
      </c>
      <c r="AJ16" s="73">
        <f>Y16*Constants!$D$14</f>
        <v>0</v>
      </c>
      <c r="AK16" s="73">
        <f>Z16*Constants!$D$15</f>
        <v>0</v>
      </c>
      <c r="AL16" s="73">
        <f>AA16*Constants!$D$3</f>
        <v>110.59783513738552</v>
      </c>
      <c r="AM16" s="73">
        <f>AB16*Constants!$D$4</f>
        <v>0.46571274298056159</v>
      </c>
      <c r="AN16" s="73">
        <f>AC16*Constants!$D$5</f>
        <v>0</v>
      </c>
      <c r="AO16" s="73">
        <f>AD16*Constants!$D$6</f>
        <v>92.003177845874475</v>
      </c>
      <c r="AP16" s="73">
        <f>AE16*Constants!$D$8</f>
        <v>0</v>
      </c>
      <c r="AQ16" s="73">
        <f>AF16*Constants!$D$10</f>
        <v>0</v>
      </c>
      <c r="AR16" s="73">
        <f>AG16*Constants!$D$12</f>
        <v>0</v>
      </c>
      <c r="AS16" s="73">
        <f>AH16*Constants!$D$11</f>
        <v>3.9075386223719359</v>
      </c>
      <c r="AT16" s="73">
        <f>AI16*Constants!$D$13</f>
        <v>0</v>
      </c>
      <c r="AU16" s="73">
        <f t="shared" si="11"/>
        <v>206.97426434861248</v>
      </c>
      <c r="AV16" s="74">
        <f>Y16*Constants!$E$14</f>
        <v>0</v>
      </c>
      <c r="AW16" s="74">
        <f>Z16*Constants!$E$15</f>
        <v>0</v>
      </c>
      <c r="AX16" s="74">
        <f>AA16*Constants!$E$3</f>
        <v>442.39134054954206</v>
      </c>
      <c r="AY16" s="74">
        <f>AB16*Constants!$E$4</f>
        <v>2.1733261339092875</v>
      </c>
      <c r="AZ16" s="74">
        <f>AC16*Constants!$E$5</f>
        <v>0</v>
      </c>
      <c r="BA16" s="74">
        <f>AD16*Constants!$E$6</f>
        <v>460.01588922937236</v>
      </c>
      <c r="BB16" s="74">
        <f>AE16*Constants!$E$8</f>
        <v>0</v>
      </c>
      <c r="BC16" s="74">
        <f>AF16*Constants!$E$10</f>
        <v>0</v>
      </c>
      <c r="BD16" s="74">
        <f>AG16*Constants!$E$12</f>
        <v>0</v>
      </c>
      <c r="BE16" s="74">
        <f>AH16*Constants!$E$11</f>
        <v>17.583923800673713</v>
      </c>
      <c r="BF16" s="74">
        <f>AI16*Constants!$E$13</f>
        <v>0</v>
      </c>
      <c r="BG16" s="74">
        <f t="shared" si="12"/>
        <v>922.16447971349737</v>
      </c>
      <c r="BH16" s="76">
        <f>N16*Constants!$I$14</f>
        <v>0</v>
      </c>
      <c r="BI16" s="76">
        <f>O16*Constants!$I$15</f>
        <v>0</v>
      </c>
      <c r="BJ16" s="76">
        <f>P16*Constants!$I$3</f>
        <v>3542.08</v>
      </c>
      <c r="BK16" s="76">
        <f>Q16*Constants!$I$4</f>
        <v>17.405405405405407</v>
      </c>
      <c r="BL16" s="76">
        <f>R16*Constants!$I$5</f>
        <v>0</v>
      </c>
      <c r="BM16" s="76">
        <f>S16*Constants!$I$6</f>
        <v>3684.7272727272725</v>
      </c>
      <c r="BN16" s="76">
        <f>T16*Constants!$I$8</f>
        <v>0</v>
      </c>
      <c r="BO16" s="76">
        <f>U16*Constants!$I$10</f>
        <v>0</v>
      </c>
      <c r="BP16" s="72">
        <f>V16*Constants!$I$12</f>
        <v>0</v>
      </c>
      <c r="BQ16" s="72">
        <f>W16*Constants!$I$11</f>
        <v>148.64186046511628</v>
      </c>
      <c r="BR16" s="72">
        <f>X16*Constants!$I$13</f>
        <v>0</v>
      </c>
      <c r="BS16" s="71">
        <f t="shared" si="13"/>
        <v>7392.8545385977941</v>
      </c>
    </row>
    <row r="17" spans="1:71">
      <c r="A17" s="143">
        <f>Rawdata!Y18</f>
        <v>28.02986111111386</v>
      </c>
      <c r="B17" s="59">
        <v>10</v>
      </c>
      <c r="C17" s="60" t="s">
        <v>188</v>
      </c>
      <c r="D17" s="60" t="s">
        <v>188</v>
      </c>
      <c r="E17" s="60">
        <v>332.4</v>
      </c>
      <c r="F17" s="60">
        <v>0.94</v>
      </c>
      <c r="G17" s="60" t="s">
        <v>188</v>
      </c>
      <c r="H17" s="60">
        <v>205.24</v>
      </c>
      <c r="I17" s="60" t="s">
        <v>188</v>
      </c>
      <c r="J17" s="60" t="s">
        <v>188</v>
      </c>
      <c r="K17" s="77">
        <v>0</v>
      </c>
      <c r="L17" s="77">
        <v>9.59</v>
      </c>
      <c r="M17" s="77">
        <v>0</v>
      </c>
      <c r="N17" s="64">
        <f t="shared" si="0"/>
        <v>0</v>
      </c>
      <c r="O17" s="64">
        <f t="shared" si="1"/>
        <v>0</v>
      </c>
      <c r="P17" s="64">
        <f t="shared" si="2"/>
        <v>3324</v>
      </c>
      <c r="Q17" s="64">
        <f t="shared" si="3"/>
        <v>9.3999999999999986</v>
      </c>
      <c r="R17" s="64">
        <f t="shared" si="4"/>
        <v>0</v>
      </c>
      <c r="S17" s="64">
        <f t="shared" si="5"/>
        <v>2052.4</v>
      </c>
      <c r="T17" s="64">
        <f t="shared" si="6"/>
        <v>0</v>
      </c>
      <c r="U17" s="64">
        <f t="shared" si="7"/>
        <v>0</v>
      </c>
      <c r="V17" s="64">
        <f t="shared" si="8"/>
        <v>0</v>
      </c>
      <c r="W17" s="64">
        <f t="shared" si="9"/>
        <v>95.9</v>
      </c>
      <c r="X17" s="64">
        <f t="shared" si="10"/>
        <v>0</v>
      </c>
      <c r="Y17" s="61">
        <f>N17/Constants!$C$14</f>
        <v>0</v>
      </c>
      <c r="Z17" s="61">
        <f>O17/Constants!$C$15</f>
        <v>0</v>
      </c>
      <c r="AA17" s="61">
        <f>P17/Constants!$C$3</f>
        <v>55.353871773522066</v>
      </c>
      <c r="AB17" s="61">
        <f>Q17/Constants!$C$4</f>
        <v>0.12688984881209503</v>
      </c>
      <c r="AC17" s="61">
        <f>R17/Constants!$C$5</f>
        <v>0</v>
      </c>
      <c r="AD17" s="61">
        <f>S17/Constants!$C$6</f>
        <v>23.293610259902398</v>
      </c>
      <c r="AE17" s="61">
        <f>T17/Constants!$C$8</f>
        <v>0</v>
      </c>
      <c r="AF17" s="61">
        <f>U17/Constants!$C$10</f>
        <v>0</v>
      </c>
      <c r="AG17" s="61">
        <f>V17/Constants!$C$12</f>
        <v>0</v>
      </c>
      <c r="AH17" s="61">
        <f>W17/Constants!$C$11</f>
        <v>1.1139505169009176</v>
      </c>
      <c r="AI17" s="61">
        <f>X17/Constants!$C$13</f>
        <v>0</v>
      </c>
      <c r="AJ17" s="73">
        <f>Y17*Constants!$D$14</f>
        <v>0</v>
      </c>
      <c r="AK17" s="73">
        <f>Z17*Constants!$D$15</f>
        <v>0</v>
      </c>
      <c r="AL17" s="73">
        <f>AA17*Constants!$D$3</f>
        <v>110.70774354704413</v>
      </c>
      <c r="AM17" s="73">
        <f>AB17*Constants!$D$4</f>
        <v>0.38066954643628509</v>
      </c>
      <c r="AN17" s="73">
        <f>AC17*Constants!$D$5</f>
        <v>0</v>
      </c>
      <c r="AO17" s="73">
        <f>AD17*Constants!$D$6</f>
        <v>93.17444103960959</v>
      </c>
      <c r="AP17" s="73">
        <f>AE17*Constants!$D$8</f>
        <v>0</v>
      </c>
      <c r="AQ17" s="73">
        <f>AF17*Constants!$D$10</f>
        <v>0</v>
      </c>
      <c r="AR17" s="73">
        <f>AG17*Constants!$D$12</f>
        <v>0</v>
      </c>
      <c r="AS17" s="73">
        <f>AH17*Constants!$D$11</f>
        <v>4.4558020676036705</v>
      </c>
      <c r="AT17" s="73">
        <f>AI17*Constants!$D$13</f>
        <v>0</v>
      </c>
      <c r="AU17" s="73">
        <f t="shared" si="11"/>
        <v>208.71865620069366</v>
      </c>
      <c r="AV17" s="74">
        <f>Y17*Constants!$E$14</f>
        <v>0</v>
      </c>
      <c r="AW17" s="74">
        <f>Z17*Constants!$E$15</f>
        <v>0</v>
      </c>
      <c r="AX17" s="74">
        <f>AA17*Constants!$E$3</f>
        <v>442.83097418817653</v>
      </c>
      <c r="AY17" s="74">
        <f>AB17*Constants!$E$4</f>
        <v>1.7764578833693303</v>
      </c>
      <c r="AZ17" s="74">
        <f>AC17*Constants!$E$5</f>
        <v>0</v>
      </c>
      <c r="BA17" s="74">
        <f>AD17*Constants!$E$6</f>
        <v>465.87220519804794</v>
      </c>
      <c r="BB17" s="74">
        <f>AE17*Constants!$E$8</f>
        <v>0</v>
      </c>
      <c r="BC17" s="74">
        <f>AF17*Constants!$E$10</f>
        <v>0</v>
      </c>
      <c r="BD17" s="74">
        <f>AG17*Constants!$E$12</f>
        <v>0</v>
      </c>
      <c r="BE17" s="74">
        <f>AH17*Constants!$E$11</f>
        <v>20.051109304216517</v>
      </c>
      <c r="BF17" s="74">
        <f>AI17*Constants!$E$13</f>
        <v>0</v>
      </c>
      <c r="BG17" s="74">
        <f t="shared" si="12"/>
        <v>930.53074657381035</v>
      </c>
      <c r="BH17" s="76">
        <f>N17*Constants!$I$14</f>
        <v>0</v>
      </c>
      <c r="BI17" s="76">
        <f>O17*Constants!$I$15</f>
        <v>0</v>
      </c>
      <c r="BJ17" s="76">
        <f>P17*Constants!$I$3</f>
        <v>3545.6</v>
      </c>
      <c r="BK17" s="76">
        <f>Q17*Constants!$I$4</f>
        <v>14.227027027027026</v>
      </c>
      <c r="BL17" s="76">
        <f>R17*Constants!$I$5</f>
        <v>0</v>
      </c>
      <c r="BM17" s="76">
        <f>S17*Constants!$I$6</f>
        <v>3731.6363636363635</v>
      </c>
      <c r="BN17" s="76">
        <f>T17*Constants!$I$8</f>
        <v>0</v>
      </c>
      <c r="BO17" s="76">
        <f>U17*Constants!$I$10</f>
        <v>0</v>
      </c>
      <c r="BP17" s="72">
        <f>V17*Constants!$I$12</f>
        <v>0</v>
      </c>
      <c r="BQ17" s="72">
        <f>W17*Constants!$I$11</f>
        <v>169.49767441860467</v>
      </c>
      <c r="BR17" s="72">
        <f>X17*Constants!$I$13</f>
        <v>0</v>
      </c>
      <c r="BS17" s="71">
        <f t="shared" si="13"/>
        <v>7460.9610650819941</v>
      </c>
    </row>
    <row r="18" spans="1:71">
      <c r="A18" s="143">
        <f>Rawdata!Y19</f>
        <v>29.149305555554747</v>
      </c>
      <c r="B18" s="59">
        <v>10</v>
      </c>
      <c r="C18" s="60" t="s">
        <v>188</v>
      </c>
      <c r="D18" s="60" t="s">
        <v>188</v>
      </c>
      <c r="E18" s="60">
        <v>250.8</v>
      </c>
      <c r="F18" s="60">
        <v>1.34</v>
      </c>
      <c r="G18" s="60" t="s">
        <v>188</v>
      </c>
      <c r="H18" s="60">
        <v>150.32</v>
      </c>
      <c r="I18" s="60" t="s">
        <v>188</v>
      </c>
      <c r="J18" s="60" t="s">
        <v>188</v>
      </c>
      <c r="K18" s="77">
        <v>0</v>
      </c>
      <c r="L18" s="77">
        <v>10.23</v>
      </c>
      <c r="M18" s="77">
        <v>0</v>
      </c>
      <c r="N18" s="64">
        <f t="shared" si="0"/>
        <v>0</v>
      </c>
      <c r="O18" s="64">
        <f t="shared" si="1"/>
        <v>0</v>
      </c>
      <c r="P18" s="64">
        <f t="shared" si="2"/>
        <v>2508</v>
      </c>
      <c r="Q18" s="64">
        <f t="shared" si="3"/>
        <v>13.4</v>
      </c>
      <c r="R18" s="64">
        <f t="shared" si="4"/>
        <v>0</v>
      </c>
      <c r="S18" s="64">
        <f t="shared" si="5"/>
        <v>1503.1999999999998</v>
      </c>
      <c r="T18" s="64">
        <f t="shared" si="6"/>
        <v>0</v>
      </c>
      <c r="U18" s="64">
        <f t="shared" si="7"/>
        <v>0</v>
      </c>
      <c r="V18" s="64">
        <f t="shared" si="8"/>
        <v>0</v>
      </c>
      <c r="W18" s="64">
        <f t="shared" si="9"/>
        <v>102.30000000000001</v>
      </c>
      <c r="X18" s="64">
        <f t="shared" si="10"/>
        <v>0</v>
      </c>
      <c r="Y18" s="61">
        <f>N18/Constants!$C$14</f>
        <v>0</v>
      </c>
      <c r="Z18" s="61">
        <f>O18/Constants!$C$15</f>
        <v>0</v>
      </c>
      <c r="AA18" s="61">
        <f>P18/Constants!$C$3</f>
        <v>41.765195670274771</v>
      </c>
      <c r="AB18" s="61">
        <f>Q18/Constants!$C$4</f>
        <v>0.1808855291576674</v>
      </c>
      <c r="AC18" s="61">
        <f>R18/Constants!$C$5</f>
        <v>0</v>
      </c>
      <c r="AD18" s="61">
        <f>S18/Constants!$C$6</f>
        <v>17.060492566110543</v>
      </c>
      <c r="AE18" s="61">
        <f>T18/Constants!$C$8</f>
        <v>0</v>
      </c>
      <c r="AF18" s="61">
        <f>U18/Constants!$C$10</f>
        <v>0</v>
      </c>
      <c r="AG18" s="61">
        <f>V18/Constants!$C$12</f>
        <v>0</v>
      </c>
      <c r="AH18" s="61">
        <f>W18/Constants!$C$11</f>
        <v>1.1882913230340342</v>
      </c>
      <c r="AI18" s="61">
        <f>X18/Constants!$C$13</f>
        <v>0</v>
      </c>
      <c r="AJ18" s="73">
        <f>Y18*Constants!$D$14</f>
        <v>0</v>
      </c>
      <c r="AK18" s="73">
        <f>Z18*Constants!$D$15</f>
        <v>0</v>
      </c>
      <c r="AL18" s="73">
        <f>AA18*Constants!$D$3</f>
        <v>83.530391340549542</v>
      </c>
      <c r="AM18" s="73">
        <f>AB18*Constants!$D$4</f>
        <v>0.54265658747300216</v>
      </c>
      <c r="AN18" s="73">
        <f>AC18*Constants!$D$5</f>
        <v>0</v>
      </c>
      <c r="AO18" s="73">
        <f>AD18*Constants!$D$6</f>
        <v>68.241970264442173</v>
      </c>
      <c r="AP18" s="73">
        <f>AE18*Constants!$D$8</f>
        <v>0</v>
      </c>
      <c r="AQ18" s="73">
        <f>AF18*Constants!$D$10</f>
        <v>0</v>
      </c>
      <c r="AR18" s="73">
        <f>AG18*Constants!$D$12</f>
        <v>0</v>
      </c>
      <c r="AS18" s="73">
        <f>AH18*Constants!$D$11</f>
        <v>4.7531652921361367</v>
      </c>
      <c r="AT18" s="73">
        <f>AI18*Constants!$D$13</f>
        <v>0</v>
      </c>
      <c r="AU18" s="73">
        <f t="shared" si="11"/>
        <v>157.06818348460087</v>
      </c>
      <c r="AV18" s="74">
        <f>Y18*Constants!$E$14</f>
        <v>0</v>
      </c>
      <c r="AW18" s="74">
        <f>Z18*Constants!$E$15</f>
        <v>0</v>
      </c>
      <c r="AX18" s="74">
        <f>AA18*Constants!$E$3</f>
        <v>334.12156536219817</v>
      </c>
      <c r="AY18" s="74">
        <f>AB18*Constants!$E$4</f>
        <v>2.5323974082073435</v>
      </c>
      <c r="AZ18" s="74">
        <f>AC18*Constants!$E$5</f>
        <v>0</v>
      </c>
      <c r="BA18" s="74">
        <f>AD18*Constants!$E$6</f>
        <v>341.20985132221085</v>
      </c>
      <c r="BB18" s="74">
        <f>AE18*Constants!$E$8</f>
        <v>0</v>
      </c>
      <c r="BC18" s="74">
        <f>AF18*Constants!$E$10</f>
        <v>0</v>
      </c>
      <c r="BD18" s="74">
        <f>AG18*Constants!$E$12</f>
        <v>0</v>
      </c>
      <c r="BE18" s="74">
        <f>AH18*Constants!$E$11</f>
        <v>21.389243814612616</v>
      </c>
      <c r="BF18" s="74">
        <f>AI18*Constants!$E$13</f>
        <v>0</v>
      </c>
      <c r="BG18" s="74">
        <f t="shared" si="12"/>
        <v>699.25305790722905</v>
      </c>
      <c r="BH18" s="76">
        <f>N18*Constants!$I$14</f>
        <v>0</v>
      </c>
      <c r="BI18" s="76">
        <f>O18*Constants!$I$15</f>
        <v>0</v>
      </c>
      <c r="BJ18" s="76">
        <f>P18*Constants!$I$3</f>
        <v>2675.2</v>
      </c>
      <c r="BK18" s="76">
        <f>Q18*Constants!$I$4</f>
        <v>20.281081081081084</v>
      </c>
      <c r="BL18" s="76">
        <f>R18*Constants!$I$5</f>
        <v>0</v>
      </c>
      <c r="BM18" s="76">
        <f>S18*Constants!$I$6</f>
        <v>2733.0909090909086</v>
      </c>
      <c r="BN18" s="76">
        <f>T18*Constants!$I$8</f>
        <v>0</v>
      </c>
      <c r="BO18" s="76">
        <f>U18*Constants!$I$10</f>
        <v>0</v>
      </c>
      <c r="BP18" s="72">
        <f>V18*Constants!$I$12</f>
        <v>0</v>
      </c>
      <c r="BQ18" s="72">
        <f>W18*Constants!$I$11</f>
        <v>180.80930232558143</v>
      </c>
      <c r="BR18" s="72">
        <f>X18*Constants!$I$13</f>
        <v>0</v>
      </c>
      <c r="BS18" s="71">
        <f t="shared" si="13"/>
        <v>5609.3812924975709</v>
      </c>
    </row>
    <row r="19" spans="1:71">
      <c r="A19" s="58">
        <f>Rawdata!Y20</f>
        <v>29.990972222221899</v>
      </c>
      <c r="B19" s="59">
        <v>20</v>
      </c>
      <c r="C19" s="60" t="s">
        <v>188</v>
      </c>
      <c r="D19" s="60" t="s">
        <v>188</v>
      </c>
      <c r="E19" s="60">
        <v>139.26</v>
      </c>
      <c r="F19" s="60">
        <v>2.25</v>
      </c>
      <c r="G19" s="60" t="s">
        <v>188</v>
      </c>
      <c r="H19" s="60">
        <v>82.91</v>
      </c>
      <c r="I19" s="60" t="s">
        <v>188</v>
      </c>
      <c r="J19" s="60" t="s">
        <v>188</v>
      </c>
      <c r="K19" s="77">
        <v>0</v>
      </c>
      <c r="L19" s="77">
        <v>0.43</v>
      </c>
      <c r="M19" s="77">
        <v>0</v>
      </c>
      <c r="N19" s="64">
        <f t="shared" si="0"/>
        <v>0</v>
      </c>
      <c r="O19" s="64">
        <f t="shared" si="1"/>
        <v>0</v>
      </c>
      <c r="P19" s="64">
        <f t="shared" si="2"/>
        <v>2785.2</v>
      </c>
      <c r="Q19" s="64">
        <f t="shared" si="3"/>
        <v>45</v>
      </c>
      <c r="R19" s="64">
        <f t="shared" si="4"/>
        <v>0</v>
      </c>
      <c r="S19" s="64">
        <f t="shared" si="5"/>
        <v>1658.1999999999998</v>
      </c>
      <c r="T19" s="64">
        <f t="shared" si="6"/>
        <v>0</v>
      </c>
      <c r="U19" s="64">
        <f t="shared" si="7"/>
        <v>0</v>
      </c>
      <c r="V19" s="64">
        <f t="shared" si="8"/>
        <v>0</v>
      </c>
      <c r="W19" s="64">
        <f t="shared" si="9"/>
        <v>4.3</v>
      </c>
      <c r="X19" s="64">
        <f t="shared" si="10"/>
        <v>0</v>
      </c>
      <c r="Y19" s="61">
        <f>N19/Constants!$C$14</f>
        <v>0</v>
      </c>
      <c r="Z19" s="61">
        <f>O19/Constants!$C$15</f>
        <v>0</v>
      </c>
      <c r="AA19" s="61">
        <f>P19/Constants!$C$3</f>
        <v>46.381348875936716</v>
      </c>
      <c r="AB19" s="61">
        <f>Q19/Constants!$C$4</f>
        <v>0.60745140388768903</v>
      </c>
      <c r="AC19" s="61">
        <f>R19/Constants!$C$5</f>
        <v>0</v>
      </c>
      <c r="AD19" s="61">
        <f>S19/Constants!$C$6</f>
        <v>18.819657246623535</v>
      </c>
      <c r="AE19" s="61">
        <f>T19/Constants!$C$8</f>
        <v>0</v>
      </c>
      <c r="AF19" s="61">
        <f>U19/Constants!$C$10</f>
        <v>0</v>
      </c>
      <c r="AG19" s="61">
        <f>V19/Constants!$C$12</f>
        <v>0</v>
      </c>
      <c r="AH19" s="61">
        <f>W19/Constants!$C$11</f>
        <v>4.9947729120687651E-2</v>
      </c>
      <c r="AI19" s="61">
        <f>X19/Constants!$C$13</f>
        <v>0</v>
      </c>
      <c r="AJ19" s="73">
        <f>Y19*Constants!$D$14</f>
        <v>0</v>
      </c>
      <c r="AK19" s="73">
        <f>Z19*Constants!$D$15</f>
        <v>0</v>
      </c>
      <c r="AL19" s="73">
        <f>AA19*Constants!$D$3</f>
        <v>92.762697751873432</v>
      </c>
      <c r="AM19" s="73">
        <f>AB19*Constants!$D$4</f>
        <v>1.8223542116630671</v>
      </c>
      <c r="AN19" s="73">
        <f>AC19*Constants!$D$5</f>
        <v>0</v>
      </c>
      <c r="AO19" s="73">
        <f>AD19*Constants!$D$6</f>
        <v>75.278628986494141</v>
      </c>
      <c r="AP19" s="73">
        <f>AE19*Constants!$D$8</f>
        <v>0</v>
      </c>
      <c r="AQ19" s="73">
        <f>AF19*Constants!$D$10</f>
        <v>0</v>
      </c>
      <c r="AR19" s="73">
        <f>AG19*Constants!$D$12</f>
        <v>0</v>
      </c>
      <c r="AS19" s="73">
        <f>AH19*Constants!$D$11</f>
        <v>0.1997909164827506</v>
      </c>
      <c r="AT19" s="73">
        <f>AI19*Constants!$D$13</f>
        <v>0</v>
      </c>
      <c r="AU19" s="73">
        <f t="shared" si="11"/>
        <v>170.0634718665134</v>
      </c>
      <c r="AV19" s="74">
        <f>Y19*Constants!$E$14</f>
        <v>0</v>
      </c>
      <c r="AW19" s="74">
        <f>Z19*Constants!$E$15</f>
        <v>0</v>
      </c>
      <c r="AX19" s="74">
        <f>AA19*Constants!$E$3</f>
        <v>371.05079100749373</v>
      </c>
      <c r="AY19" s="74">
        <f>AB19*Constants!$E$4</f>
        <v>8.5043196544276469</v>
      </c>
      <c r="AZ19" s="74">
        <f>AC19*Constants!$E$5</f>
        <v>0</v>
      </c>
      <c r="BA19" s="74">
        <f>AD19*Constants!$E$6</f>
        <v>376.3931449324707</v>
      </c>
      <c r="BB19" s="74">
        <f>AE19*Constants!$E$8</f>
        <v>0</v>
      </c>
      <c r="BC19" s="74">
        <f>AF19*Constants!$E$10</f>
        <v>0</v>
      </c>
      <c r="BD19" s="74">
        <f>AG19*Constants!$E$12</f>
        <v>0</v>
      </c>
      <c r="BE19" s="74">
        <f>AH19*Constants!$E$11</f>
        <v>0.89905912417237777</v>
      </c>
      <c r="BF19" s="74">
        <f>AI19*Constants!$E$13</f>
        <v>0</v>
      </c>
      <c r="BG19" s="74">
        <f t="shared" si="12"/>
        <v>756.84731471856446</v>
      </c>
      <c r="BH19" s="76">
        <f>N19*Constants!$I$14</f>
        <v>0</v>
      </c>
      <c r="BI19" s="76">
        <f>O19*Constants!$I$15</f>
        <v>0</v>
      </c>
      <c r="BJ19" s="76">
        <f>P19*Constants!$I$3</f>
        <v>2970.8799999999997</v>
      </c>
      <c r="BK19" s="76">
        <f>Q19*Constants!$I$4</f>
        <v>68.108108108108112</v>
      </c>
      <c r="BL19" s="76">
        <f>R19*Constants!$I$5</f>
        <v>0</v>
      </c>
      <c r="BM19" s="76">
        <f>S19*Constants!$I$6</f>
        <v>3014.9090909090905</v>
      </c>
      <c r="BN19" s="76">
        <f>T19*Constants!$I$8</f>
        <v>0</v>
      </c>
      <c r="BO19" s="76">
        <f>U19*Constants!$I$10</f>
        <v>0</v>
      </c>
      <c r="BP19" s="72">
        <f>V19*Constants!$I$12</f>
        <v>0</v>
      </c>
      <c r="BQ19" s="72">
        <f>W19*Constants!$I$11</f>
        <v>7.6</v>
      </c>
      <c r="BR19" s="72">
        <f>X19*Constants!$I$13</f>
        <v>0</v>
      </c>
      <c r="BS19" s="71">
        <f t="shared" si="13"/>
        <v>6061.497199017198</v>
      </c>
    </row>
    <row r="20" spans="1:71">
      <c r="A20" s="58">
        <f>Rawdata!Y21</f>
        <v>32.990972222221899</v>
      </c>
      <c r="B20" s="59">
        <v>20</v>
      </c>
      <c r="C20" s="60" t="s">
        <v>188</v>
      </c>
      <c r="D20" s="60" t="s">
        <v>188</v>
      </c>
      <c r="E20" s="60">
        <v>277.07</v>
      </c>
      <c r="F20" s="60">
        <v>2.65</v>
      </c>
      <c r="G20" s="60" t="s">
        <v>188</v>
      </c>
      <c r="H20" s="60">
        <v>168.81</v>
      </c>
      <c r="I20" s="60">
        <v>0.93</v>
      </c>
      <c r="J20" s="60" t="s">
        <v>188</v>
      </c>
      <c r="K20" s="77">
        <v>5.32</v>
      </c>
      <c r="L20" s="77">
        <v>10.87</v>
      </c>
      <c r="M20" s="77">
        <v>0</v>
      </c>
      <c r="N20" s="64">
        <f t="shared" si="0"/>
        <v>0</v>
      </c>
      <c r="O20" s="64">
        <f t="shared" si="1"/>
        <v>0</v>
      </c>
      <c r="P20" s="64">
        <f t="shared" si="2"/>
        <v>5541.4</v>
      </c>
      <c r="Q20" s="64">
        <f t="shared" si="3"/>
        <v>53</v>
      </c>
      <c r="R20" s="64">
        <f t="shared" si="4"/>
        <v>0</v>
      </c>
      <c r="S20" s="64">
        <f t="shared" si="5"/>
        <v>3376.2</v>
      </c>
      <c r="T20" s="64">
        <f t="shared" si="6"/>
        <v>18.600000000000001</v>
      </c>
      <c r="U20" s="64">
        <f t="shared" si="7"/>
        <v>0</v>
      </c>
      <c r="V20" s="64">
        <f t="shared" si="8"/>
        <v>53.2</v>
      </c>
      <c r="W20" s="64">
        <f t="shared" si="9"/>
        <v>108.69999999999999</v>
      </c>
      <c r="X20" s="64">
        <f t="shared" si="10"/>
        <v>0</v>
      </c>
      <c r="Y20" s="61">
        <f>N20/Constants!$C$14</f>
        <v>0</v>
      </c>
      <c r="Z20" s="61">
        <f>O20/Constants!$C$15</f>
        <v>0</v>
      </c>
      <c r="AA20" s="61">
        <f>P20/Constants!$C$3</f>
        <v>92.279766860949209</v>
      </c>
      <c r="AB20" s="61">
        <f>Q20/Constants!$C$4</f>
        <v>0.71544276457883371</v>
      </c>
      <c r="AC20" s="61">
        <f>R20/Constants!$C$5</f>
        <v>0</v>
      </c>
      <c r="AD20" s="61">
        <f>S20/Constants!$C$6</f>
        <v>38.318011576438543</v>
      </c>
      <c r="AE20" s="61">
        <f>T20/Constants!$C$8</f>
        <v>0.18212082639772842</v>
      </c>
      <c r="AF20" s="61">
        <f>U20/Constants!$C$10</f>
        <v>0</v>
      </c>
      <c r="AG20" s="61">
        <f>V20/Constants!$C$12</f>
        <v>0.51102497970788974</v>
      </c>
      <c r="AH20" s="61">
        <f>W20/Constants!$C$11</f>
        <v>1.2626321291671505</v>
      </c>
      <c r="AI20" s="61">
        <f>X20/Constants!$C$13</f>
        <v>0</v>
      </c>
      <c r="AJ20" s="73">
        <f>Y20*Constants!$D$14</f>
        <v>0</v>
      </c>
      <c r="AK20" s="73">
        <f>Z20*Constants!$D$15</f>
        <v>0</v>
      </c>
      <c r="AL20" s="73">
        <f>AA20*Constants!$D$3</f>
        <v>184.55953372189842</v>
      </c>
      <c r="AM20" s="73">
        <f>AB20*Constants!$D$4</f>
        <v>2.1463282937365014</v>
      </c>
      <c r="AN20" s="73">
        <f>AC20*Constants!$D$5</f>
        <v>0</v>
      </c>
      <c r="AO20" s="73">
        <f>AD20*Constants!$D$6</f>
        <v>153.27204630575417</v>
      </c>
      <c r="AP20" s="73">
        <f>AE20*Constants!$D$8</f>
        <v>0.9106041319886421</v>
      </c>
      <c r="AQ20" s="73">
        <f>AF20*Constants!$D$10</f>
        <v>0</v>
      </c>
      <c r="AR20" s="73">
        <f>AG20*Constants!$D$12</f>
        <v>2.0440999188315589</v>
      </c>
      <c r="AS20" s="73">
        <f>AH20*Constants!$D$11</f>
        <v>5.050528516668602</v>
      </c>
      <c r="AT20" s="73">
        <f>AI20*Constants!$D$13</f>
        <v>0</v>
      </c>
      <c r="AU20" s="73">
        <f t="shared" si="11"/>
        <v>347.98314088887787</v>
      </c>
      <c r="AV20" s="74">
        <f>Y20*Constants!$E$14</f>
        <v>0</v>
      </c>
      <c r="AW20" s="74">
        <f>Z20*Constants!$E$15</f>
        <v>0</v>
      </c>
      <c r="AX20" s="74">
        <f>AA20*Constants!$E$3</f>
        <v>738.23813488759367</v>
      </c>
      <c r="AY20" s="74">
        <f>AB20*Constants!$E$4</f>
        <v>10.016198704103672</v>
      </c>
      <c r="AZ20" s="74">
        <f>AC20*Constants!$E$5</f>
        <v>0</v>
      </c>
      <c r="BA20" s="74">
        <f>AD20*Constants!$E$6</f>
        <v>766.3602315287709</v>
      </c>
      <c r="BB20" s="74">
        <f>AE20*Constants!$E$8</f>
        <v>4.7351414863409387</v>
      </c>
      <c r="BC20" s="74">
        <f>AF20*Constants!$E$10</f>
        <v>0</v>
      </c>
      <c r="BD20" s="74">
        <f>AG20*Constants!$E$12</f>
        <v>9.1984496347420155</v>
      </c>
      <c r="BE20" s="74">
        <f>AH20*Constants!$E$11</f>
        <v>22.727378325008708</v>
      </c>
      <c r="BF20" s="74">
        <f>AI20*Constants!$E$13</f>
        <v>0</v>
      </c>
      <c r="BG20" s="74">
        <f t="shared" si="12"/>
        <v>1551.2755345665601</v>
      </c>
      <c r="BH20" s="76">
        <f>N20*Constants!$I$14</f>
        <v>0</v>
      </c>
      <c r="BI20" s="76">
        <f>O20*Constants!$I$15</f>
        <v>0</v>
      </c>
      <c r="BJ20" s="76">
        <f>P20*Constants!$I$3</f>
        <v>5910.8266666666659</v>
      </c>
      <c r="BK20" s="76">
        <f>Q20*Constants!$I$4</f>
        <v>80.216216216216225</v>
      </c>
      <c r="BL20" s="76">
        <f>R20*Constants!$I$5</f>
        <v>0</v>
      </c>
      <c r="BM20" s="76">
        <f>S20*Constants!$I$6</f>
        <v>6138.545454545454</v>
      </c>
      <c r="BN20" s="76">
        <f>T20*Constants!$I$8</f>
        <v>37.929411764705883</v>
      </c>
      <c r="BO20" s="76">
        <f>U20*Constants!$I$10</f>
        <v>0</v>
      </c>
      <c r="BP20" s="72">
        <f>V20*Constants!$I$12</f>
        <v>73.66153846153847</v>
      </c>
      <c r="BQ20" s="72">
        <f>W20*Constants!$I$11</f>
        <v>192.12093023255812</v>
      </c>
      <c r="BR20" s="72">
        <f>X20*Constants!$I$13</f>
        <v>0</v>
      </c>
      <c r="BS20" s="71">
        <f t="shared" si="13"/>
        <v>12433.300217887139</v>
      </c>
    </row>
    <row r="21" spans="1:71">
      <c r="A21" s="58">
        <f>Rawdata!Y22</f>
        <v>35.002083333332848</v>
      </c>
      <c r="B21" s="59">
        <v>20</v>
      </c>
      <c r="C21" s="60" t="s">
        <v>188</v>
      </c>
      <c r="D21" s="60" t="s">
        <v>188</v>
      </c>
      <c r="E21" s="60">
        <v>306.55</v>
      </c>
      <c r="F21" s="60">
        <v>1.36</v>
      </c>
      <c r="G21" s="60" t="s">
        <v>188</v>
      </c>
      <c r="H21" s="60">
        <v>191.31</v>
      </c>
      <c r="I21" s="60">
        <v>1.07</v>
      </c>
      <c r="J21" s="60" t="s">
        <v>188</v>
      </c>
      <c r="K21" s="77">
        <v>0</v>
      </c>
      <c r="L21" s="77">
        <v>13.28</v>
      </c>
      <c r="M21" s="77">
        <v>0</v>
      </c>
      <c r="N21" s="64">
        <f t="shared" si="0"/>
        <v>0</v>
      </c>
      <c r="O21" s="64">
        <f t="shared" si="1"/>
        <v>0</v>
      </c>
      <c r="P21" s="64">
        <f t="shared" si="2"/>
        <v>6131</v>
      </c>
      <c r="Q21" s="64">
        <f t="shared" si="3"/>
        <v>27.200000000000003</v>
      </c>
      <c r="R21" s="64">
        <f t="shared" si="4"/>
        <v>0</v>
      </c>
      <c r="S21" s="64">
        <f t="shared" si="5"/>
        <v>3826.2</v>
      </c>
      <c r="T21" s="64">
        <f t="shared" si="6"/>
        <v>21.400000000000002</v>
      </c>
      <c r="U21" s="64">
        <f t="shared" si="7"/>
        <v>0</v>
      </c>
      <c r="V21" s="64">
        <f t="shared" si="8"/>
        <v>0</v>
      </c>
      <c r="W21" s="64">
        <f t="shared" si="9"/>
        <v>132.79999999999998</v>
      </c>
      <c r="X21" s="64">
        <f t="shared" si="10"/>
        <v>0</v>
      </c>
      <c r="Y21" s="61">
        <f>N21/Constants!$C$14</f>
        <v>0</v>
      </c>
      <c r="Z21" s="61">
        <f>O21/Constants!$C$15</f>
        <v>0</v>
      </c>
      <c r="AA21" s="61">
        <f>P21/Constants!$C$3</f>
        <v>102.09825145711908</v>
      </c>
      <c r="AB21" s="61">
        <f>Q21/Constants!$C$4</f>
        <v>0.36717062634989206</v>
      </c>
      <c r="AC21" s="61">
        <f>R21/Constants!$C$5</f>
        <v>0</v>
      </c>
      <c r="AD21" s="61">
        <f>S21/Constants!$C$6</f>
        <v>43.425263874702075</v>
      </c>
      <c r="AE21" s="61">
        <f>T21/Constants!$C$8</f>
        <v>0.20953686478018216</v>
      </c>
      <c r="AF21" s="61">
        <f>U21/Constants!$C$10</f>
        <v>0</v>
      </c>
      <c r="AG21" s="61">
        <f>V21/Constants!$C$12</f>
        <v>0</v>
      </c>
      <c r="AH21" s="61">
        <f>W21/Constants!$C$11</f>
        <v>1.5425717272621673</v>
      </c>
      <c r="AI21" s="61">
        <f>X21/Constants!$C$13</f>
        <v>0</v>
      </c>
      <c r="AJ21" s="73">
        <f>Y21*Constants!$D$14</f>
        <v>0</v>
      </c>
      <c r="AK21" s="73">
        <f>Z21*Constants!$D$15</f>
        <v>0</v>
      </c>
      <c r="AL21" s="73">
        <f>AA21*Constants!$D$3</f>
        <v>204.19650291423815</v>
      </c>
      <c r="AM21" s="73">
        <f>AB21*Constants!$D$4</f>
        <v>1.1015118790496761</v>
      </c>
      <c r="AN21" s="73">
        <f>AC21*Constants!$D$5</f>
        <v>0</v>
      </c>
      <c r="AO21" s="73">
        <f>AD21*Constants!$D$6</f>
        <v>173.7010554988083</v>
      </c>
      <c r="AP21" s="73">
        <f>AE21*Constants!$D$8</f>
        <v>1.0476843239009108</v>
      </c>
      <c r="AQ21" s="73">
        <f>AF21*Constants!$D$10</f>
        <v>0</v>
      </c>
      <c r="AR21" s="73">
        <f>AG21*Constants!$D$12</f>
        <v>0</v>
      </c>
      <c r="AS21" s="73">
        <f>AH21*Constants!$D$11</f>
        <v>6.1702869090486692</v>
      </c>
      <c r="AT21" s="73">
        <f>AI21*Constants!$D$13</f>
        <v>0</v>
      </c>
      <c r="AU21" s="73">
        <f t="shared" si="11"/>
        <v>386.21704152504572</v>
      </c>
      <c r="AV21" s="74">
        <f>Y21*Constants!$E$14</f>
        <v>0</v>
      </c>
      <c r="AW21" s="74">
        <f>Z21*Constants!$E$15</f>
        <v>0</v>
      </c>
      <c r="AX21" s="74">
        <f>AA21*Constants!$E$3</f>
        <v>816.78601165695261</v>
      </c>
      <c r="AY21" s="74">
        <f>AB21*Constants!$E$4</f>
        <v>5.1403887688984886</v>
      </c>
      <c r="AZ21" s="74">
        <f>AC21*Constants!$E$5</f>
        <v>0</v>
      </c>
      <c r="BA21" s="74">
        <f>AD21*Constants!$E$6</f>
        <v>868.50527749404148</v>
      </c>
      <c r="BB21" s="74">
        <f>AE21*Constants!$E$8</f>
        <v>5.4479584842847357</v>
      </c>
      <c r="BC21" s="74">
        <f>AF21*Constants!$E$10</f>
        <v>0</v>
      </c>
      <c r="BD21" s="74">
        <f>AG21*Constants!$E$12</f>
        <v>0</v>
      </c>
      <c r="BE21" s="74">
        <f>AH21*Constants!$E$11</f>
        <v>27.766291090719012</v>
      </c>
      <c r="BF21" s="74">
        <f>AI21*Constants!$E$13</f>
        <v>0</v>
      </c>
      <c r="BG21" s="74">
        <f t="shared" si="12"/>
        <v>1723.6459274948963</v>
      </c>
      <c r="BH21" s="76">
        <f>N21*Constants!$I$14</f>
        <v>0</v>
      </c>
      <c r="BI21" s="76">
        <f>O21*Constants!$I$15</f>
        <v>0</v>
      </c>
      <c r="BJ21" s="76">
        <f>P21*Constants!$I$3</f>
        <v>6539.7333333333336</v>
      </c>
      <c r="BK21" s="76">
        <f>Q21*Constants!$I$4</f>
        <v>41.167567567567573</v>
      </c>
      <c r="BL21" s="76">
        <f>R21*Constants!$I$5</f>
        <v>0</v>
      </c>
      <c r="BM21" s="76">
        <f>S21*Constants!$I$6</f>
        <v>6956.7272727272721</v>
      </c>
      <c r="BN21" s="76">
        <f>T21*Constants!$I$8</f>
        <v>43.639215686274511</v>
      </c>
      <c r="BO21" s="76">
        <f>U21*Constants!$I$10</f>
        <v>0</v>
      </c>
      <c r="BP21" s="72">
        <f>V21*Constants!$I$12</f>
        <v>0</v>
      </c>
      <c r="BQ21" s="72">
        <f>W21*Constants!$I$11</f>
        <v>234.71627906976741</v>
      </c>
      <c r="BR21" s="72">
        <f>X21*Constants!$I$13</f>
        <v>0</v>
      </c>
      <c r="BS21" s="71">
        <f t="shared" si="13"/>
        <v>13815.983668384217</v>
      </c>
    </row>
    <row r="22" spans="1:71">
      <c r="A22" s="58">
        <f>Rawdata!Y23</f>
        <v>37.01875000000291</v>
      </c>
      <c r="B22" s="59">
        <v>20</v>
      </c>
      <c r="C22" s="60" t="s">
        <v>188</v>
      </c>
      <c r="D22" s="60" t="s">
        <v>188</v>
      </c>
      <c r="E22" s="60">
        <v>304.04000000000002</v>
      </c>
      <c r="F22" s="60">
        <v>2.67</v>
      </c>
      <c r="G22" s="60" t="s">
        <v>188</v>
      </c>
      <c r="H22" s="60">
        <v>185.55</v>
      </c>
      <c r="I22" s="60">
        <v>1.2</v>
      </c>
      <c r="J22" s="60" t="s">
        <v>188</v>
      </c>
      <c r="K22" s="77">
        <v>0</v>
      </c>
      <c r="L22" s="77">
        <v>17.21</v>
      </c>
      <c r="M22" s="77">
        <v>0</v>
      </c>
      <c r="N22" s="64">
        <f t="shared" si="0"/>
        <v>0</v>
      </c>
      <c r="O22" s="64">
        <f t="shared" si="1"/>
        <v>0</v>
      </c>
      <c r="P22" s="64">
        <f t="shared" si="2"/>
        <v>6080.8</v>
      </c>
      <c r="Q22" s="64">
        <f t="shared" si="3"/>
        <v>53.4</v>
      </c>
      <c r="R22" s="64">
        <f t="shared" si="4"/>
        <v>0</v>
      </c>
      <c r="S22" s="64">
        <f t="shared" si="5"/>
        <v>3711</v>
      </c>
      <c r="T22" s="64">
        <f t="shared" si="6"/>
        <v>24</v>
      </c>
      <c r="U22" s="64">
        <f t="shared" si="7"/>
        <v>0</v>
      </c>
      <c r="V22" s="64">
        <f t="shared" si="8"/>
        <v>0</v>
      </c>
      <c r="W22" s="64">
        <f t="shared" si="9"/>
        <v>172.10000000000002</v>
      </c>
      <c r="X22" s="64">
        <f t="shared" si="10"/>
        <v>0</v>
      </c>
      <c r="Y22" s="61">
        <f>N22/Constants!$C$14</f>
        <v>0</v>
      </c>
      <c r="Z22" s="61">
        <f>O22/Constants!$C$15</f>
        <v>0</v>
      </c>
      <c r="AA22" s="61">
        <f>P22/Constants!$C$3</f>
        <v>101.26228143213989</v>
      </c>
      <c r="AB22" s="61">
        <f>Q22/Constants!$C$4</f>
        <v>0.72084233261339092</v>
      </c>
      <c r="AC22" s="61">
        <f>R22/Constants!$C$5</f>
        <v>0</v>
      </c>
      <c r="AD22" s="61">
        <f>S22/Constants!$C$6</f>
        <v>42.117807286346611</v>
      </c>
      <c r="AE22" s="61">
        <f>T22/Constants!$C$8</f>
        <v>0.23499461470674632</v>
      </c>
      <c r="AF22" s="61">
        <f>U22/Constants!$C$10</f>
        <v>0</v>
      </c>
      <c r="AG22" s="61">
        <f>V22/Constants!$C$12</f>
        <v>0</v>
      </c>
      <c r="AH22" s="61">
        <f>W22/Constants!$C$11</f>
        <v>1.9990707399233363</v>
      </c>
      <c r="AI22" s="61">
        <f>X22/Constants!$C$13</f>
        <v>0</v>
      </c>
      <c r="AJ22" s="73">
        <f>Y22*Constants!$D$14</f>
        <v>0</v>
      </c>
      <c r="AK22" s="73">
        <f>Z22*Constants!$D$15</f>
        <v>0</v>
      </c>
      <c r="AL22" s="73">
        <f>AA22*Constants!$D$3</f>
        <v>202.52456286427977</v>
      </c>
      <c r="AM22" s="73">
        <f>AB22*Constants!$D$4</f>
        <v>2.1625269978401729</v>
      </c>
      <c r="AN22" s="73">
        <f>AC22*Constants!$D$5</f>
        <v>0</v>
      </c>
      <c r="AO22" s="73">
        <f>AD22*Constants!$D$6</f>
        <v>168.47122914538645</v>
      </c>
      <c r="AP22" s="73">
        <f>AE22*Constants!$D$8</f>
        <v>1.1749730735337316</v>
      </c>
      <c r="AQ22" s="73">
        <f>AF22*Constants!$D$10</f>
        <v>0</v>
      </c>
      <c r="AR22" s="73">
        <f>AG22*Constants!$D$12</f>
        <v>0</v>
      </c>
      <c r="AS22" s="73">
        <f>AH22*Constants!$D$11</f>
        <v>7.9962829596933451</v>
      </c>
      <c r="AT22" s="73">
        <f>AI22*Constants!$D$13</f>
        <v>0</v>
      </c>
      <c r="AU22" s="73">
        <f t="shared" si="11"/>
        <v>382.32957504073352</v>
      </c>
      <c r="AV22" s="74">
        <f>Y22*Constants!$E$14</f>
        <v>0</v>
      </c>
      <c r="AW22" s="74">
        <f>Z22*Constants!$E$15</f>
        <v>0</v>
      </c>
      <c r="AX22" s="74">
        <f>AA22*Constants!$E$3</f>
        <v>810.09825145711909</v>
      </c>
      <c r="AY22" s="74">
        <f>AB22*Constants!$E$4</f>
        <v>10.091792656587472</v>
      </c>
      <c r="AZ22" s="74">
        <f>AC22*Constants!$E$5</f>
        <v>0</v>
      </c>
      <c r="BA22" s="74">
        <f>AD22*Constants!$E$6</f>
        <v>842.35614572693225</v>
      </c>
      <c r="BB22" s="74">
        <f>AE22*Constants!$E$8</f>
        <v>6.1098599823754043</v>
      </c>
      <c r="BC22" s="74">
        <f>AF22*Constants!$E$10</f>
        <v>0</v>
      </c>
      <c r="BD22" s="74">
        <f>AG22*Constants!$E$12</f>
        <v>0</v>
      </c>
      <c r="BE22" s="74">
        <f>AH22*Constants!$E$11</f>
        <v>35.98327331862005</v>
      </c>
      <c r="BF22" s="74">
        <f>AI22*Constants!$E$13</f>
        <v>0</v>
      </c>
      <c r="BG22" s="74">
        <f t="shared" si="12"/>
        <v>1704.6393231416343</v>
      </c>
      <c r="BH22" s="76">
        <f>N22*Constants!$I$14</f>
        <v>0</v>
      </c>
      <c r="BI22" s="76">
        <f>O22*Constants!$I$15</f>
        <v>0</v>
      </c>
      <c r="BJ22" s="76">
        <f>P22*Constants!$I$3</f>
        <v>6486.1866666666665</v>
      </c>
      <c r="BK22" s="76">
        <f>Q22*Constants!$I$4</f>
        <v>80.821621621621631</v>
      </c>
      <c r="BL22" s="76">
        <f>R22*Constants!$I$5</f>
        <v>0</v>
      </c>
      <c r="BM22" s="76">
        <f>S22*Constants!$I$6</f>
        <v>6747.272727272727</v>
      </c>
      <c r="BN22" s="76">
        <f>T22*Constants!$I$8</f>
        <v>48.941176470588232</v>
      </c>
      <c r="BO22" s="76">
        <f>U22*Constants!$I$10</f>
        <v>0</v>
      </c>
      <c r="BP22" s="72">
        <f>V22*Constants!$I$12</f>
        <v>0</v>
      </c>
      <c r="BQ22" s="72">
        <f>W22*Constants!$I$11</f>
        <v>304.17674418604656</v>
      </c>
      <c r="BR22" s="72">
        <f>X22*Constants!$I$13</f>
        <v>0</v>
      </c>
      <c r="BS22" s="71">
        <f t="shared" si="13"/>
        <v>13667.398936217649</v>
      </c>
    </row>
    <row r="23" spans="1:71">
      <c r="A23" s="58">
        <f>Rawdata!Y24</f>
        <v>40.011111111110949</v>
      </c>
      <c r="B23" s="59">
        <v>20</v>
      </c>
      <c r="C23" s="60" t="s">
        <v>188</v>
      </c>
      <c r="D23" s="60" t="s">
        <v>188</v>
      </c>
      <c r="E23" s="60">
        <v>310.64</v>
      </c>
      <c r="F23" s="60">
        <v>2.91</v>
      </c>
      <c r="G23" s="60" t="s">
        <v>188</v>
      </c>
      <c r="H23" s="60">
        <v>189.22</v>
      </c>
      <c r="I23" s="60">
        <v>1.0900000000000001</v>
      </c>
      <c r="J23" s="60">
        <v>0.82</v>
      </c>
      <c r="K23" s="77">
        <v>0</v>
      </c>
      <c r="L23" s="77">
        <v>11.37</v>
      </c>
      <c r="M23" s="77">
        <v>0</v>
      </c>
      <c r="N23" s="64">
        <f t="shared" si="0"/>
        <v>0</v>
      </c>
      <c r="O23" s="64">
        <f t="shared" si="1"/>
        <v>0</v>
      </c>
      <c r="P23" s="64">
        <f t="shared" si="2"/>
        <v>6212.7999999999993</v>
      </c>
      <c r="Q23" s="64">
        <f t="shared" si="3"/>
        <v>58.2</v>
      </c>
      <c r="R23" s="64">
        <f t="shared" si="4"/>
        <v>0</v>
      </c>
      <c r="S23" s="64">
        <f t="shared" si="5"/>
        <v>3784.4</v>
      </c>
      <c r="T23" s="64">
        <f t="shared" si="6"/>
        <v>21.8</v>
      </c>
      <c r="U23" s="64">
        <f t="shared" si="7"/>
        <v>16.399999999999999</v>
      </c>
      <c r="V23" s="64">
        <f t="shared" si="8"/>
        <v>0</v>
      </c>
      <c r="W23" s="64">
        <f t="shared" si="9"/>
        <v>113.69999999999999</v>
      </c>
      <c r="X23" s="64">
        <f t="shared" si="10"/>
        <v>0</v>
      </c>
      <c r="Y23" s="61">
        <f>N23/Constants!$C$14</f>
        <v>0</v>
      </c>
      <c r="Z23" s="61">
        <f>O23/Constants!$C$15</f>
        <v>0</v>
      </c>
      <c r="AA23" s="61">
        <f>P23/Constants!$C$3</f>
        <v>103.46044962531224</v>
      </c>
      <c r="AB23" s="61">
        <f>Q23/Constants!$C$4</f>
        <v>0.7856371490280778</v>
      </c>
      <c r="AC23" s="61">
        <f>R23/Constants!$C$5</f>
        <v>0</v>
      </c>
      <c r="AD23" s="61">
        <f>S23/Constants!$C$6</f>
        <v>42.950856883441155</v>
      </c>
      <c r="AE23" s="61">
        <f>T23/Constants!$C$8</f>
        <v>0.21345344169196123</v>
      </c>
      <c r="AF23" s="61">
        <f>U23/Constants!$C$10</f>
        <v>0.1411845730027548</v>
      </c>
      <c r="AG23" s="61">
        <f>V23/Constants!$C$12</f>
        <v>0</v>
      </c>
      <c r="AH23" s="61">
        <f>W23/Constants!$C$11</f>
        <v>1.3207108839586477</v>
      </c>
      <c r="AI23" s="61">
        <f>X23/Constants!$C$13</f>
        <v>0</v>
      </c>
      <c r="AJ23" s="73">
        <f>Y23*Constants!$D$14</f>
        <v>0</v>
      </c>
      <c r="AK23" s="73">
        <f>Z23*Constants!$D$15</f>
        <v>0</v>
      </c>
      <c r="AL23" s="73">
        <f>AA23*Constants!$D$3</f>
        <v>206.92089925062447</v>
      </c>
      <c r="AM23" s="73">
        <f>AB23*Constants!$D$4</f>
        <v>2.3569114470842334</v>
      </c>
      <c r="AN23" s="73">
        <f>AC23*Constants!$D$5</f>
        <v>0</v>
      </c>
      <c r="AO23" s="73">
        <f>AD23*Constants!$D$6</f>
        <v>171.80342753376462</v>
      </c>
      <c r="AP23" s="73">
        <f>AE23*Constants!$D$8</f>
        <v>1.067267208459806</v>
      </c>
      <c r="AQ23" s="73">
        <f>AF23*Constants!$D$10</f>
        <v>0.84710743801652888</v>
      </c>
      <c r="AR23" s="73">
        <f>AG23*Constants!$D$12</f>
        <v>0</v>
      </c>
      <c r="AS23" s="73">
        <f>AH23*Constants!$D$11</f>
        <v>5.2828435358345907</v>
      </c>
      <c r="AT23" s="73">
        <f>AI23*Constants!$D$13</f>
        <v>0</v>
      </c>
      <c r="AU23" s="73">
        <f t="shared" si="11"/>
        <v>388.27845641378423</v>
      </c>
      <c r="AV23" s="74">
        <f>Y23*Constants!$E$14</f>
        <v>0</v>
      </c>
      <c r="AW23" s="74">
        <f>Z23*Constants!$E$15</f>
        <v>0</v>
      </c>
      <c r="AX23" s="74">
        <f>AA23*Constants!$E$3</f>
        <v>827.68359700249789</v>
      </c>
      <c r="AY23" s="74">
        <f>AB23*Constants!$E$4</f>
        <v>10.998920086393088</v>
      </c>
      <c r="AZ23" s="74">
        <f>AC23*Constants!$E$5</f>
        <v>0</v>
      </c>
      <c r="BA23" s="74">
        <f>AD23*Constants!$E$6</f>
        <v>859.01713766882312</v>
      </c>
      <c r="BB23" s="74">
        <f>AE23*Constants!$E$8</f>
        <v>5.5497894839909918</v>
      </c>
      <c r="BC23" s="74">
        <f>AF23*Constants!$E$10</f>
        <v>4.5179063360881537</v>
      </c>
      <c r="BD23" s="74">
        <f>AG23*Constants!$E$12</f>
        <v>0</v>
      </c>
      <c r="BE23" s="74">
        <f>AH23*Constants!$E$11</f>
        <v>23.772795911255656</v>
      </c>
      <c r="BF23" s="74">
        <f>AI23*Constants!$E$13</f>
        <v>0</v>
      </c>
      <c r="BG23" s="74">
        <f t="shared" si="12"/>
        <v>1731.5401464890488</v>
      </c>
      <c r="BH23" s="76">
        <f>N23*Constants!$I$14</f>
        <v>0</v>
      </c>
      <c r="BI23" s="76">
        <f>O23*Constants!$I$15</f>
        <v>0</v>
      </c>
      <c r="BJ23" s="76">
        <f>P23*Constants!$I$3</f>
        <v>6626.9866666666658</v>
      </c>
      <c r="BK23" s="76">
        <f>Q23*Constants!$I$4</f>
        <v>88.086486486486493</v>
      </c>
      <c r="BL23" s="76">
        <f>R23*Constants!$I$5</f>
        <v>0</v>
      </c>
      <c r="BM23" s="76">
        <f>S23*Constants!$I$6</f>
        <v>6880.727272727273</v>
      </c>
      <c r="BN23" s="76">
        <f>T23*Constants!$I$8</f>
        <v>44.454901960784312</v>
      </c>
      <c r="BO23" s="76">
        <f>U23*Constants!$I$10</f>
        <v>36.193103448275856</v>
      </c>
      <c r="BP23" s="72">
        <f>V23*Constants!$I$12</f>
        <v>0</v>
      </c>
      <c r="BQ23" s="72">
        <f>W23*Constants!$I$11</f>
        <v>200.95813953488371</v>
      </c>
      <c r="BR23" s="72">
        <f>X23*Constants!$I$13</f>
        <v>0</v>
      </c>
      <c r="BS23" s="71">
        <f t="shared" si="13"/>
        <v>13877.406570824367</v>
      </c>
    </row>
    <row r="24" spans="1:71">
      <c r="A24" s="58">
        <f>Rawdata!Y25</f>
        <v>42.029166666667152</v>
      </c>
      <c r="B24" s="59">
        <v>20</v>
      </c>
      <c r="C24" s="60" t="s">
        <v>188</v>
      </c>
      <c r="D24" s="60" t="s">
        <v>188</v>
      </c>
      <c r="E24" s="60">
        <v>319.86</v>
      </c>
      <c r="F24" s="60">
        <v>2.78</v>
      </c>
      <c r="G24" s="60" t="s">
        <v>188</v>
      </c>
      <c r="H24" s="60">
        <v>195.79</v>
      </c>
      <c r="I24" s="60">
        <v>1.27</v>
      </c>
      <c r="J24" s="60">
        <v>0.87</v>
      </c>
      <c r="K24" s="77">
        <v>0</v>
      </c>
      <c r="L24" s="77">
        <v>9.66</v>
      </c>
      <c r="M24" s="77">
        <v>0</v>
      </c>
      <c r="N24" s="64">
        <f t="shared" si="0"/>
        <v>0</v>
      </c>
      <c r="O24" s="64">
        <f t="shared" si="1"/>
        <v>0</v>
      </c>
      <c r="P24" s="64">
        <f t="shared" si="2"/>
        <v>6397.2000000000007</v>
      </c>
      <c r="Q24" s="64">
        <f t="shared" si="3"/>
        <v>55.599999999999994</v>
      </c>
      <c r="R24" s="64">
        <f t="shared" si="4"/>
        <v>0</v>
      </c>
      <c r="S24" s="64">
        <f t="shared" si="5"/>
        <v>3915.7999999999997</v>
      </c>
      <c r="T24" s="64">
        <f t="shared" si="6"/>
        <v>25.4</v>
      </c>
      <c r="U24" s="64">
        <f t="shared" si="7"/>
        <v>17.399999999999999</v>
      </c>
      <c r="V24" s="64">
        <f t="shared" si="8"/>
        <v>0</v>
      </c>
      <c r="W24" s="64">
        <f t="shared" si="9"/>
        <v>96.6</v>
      </c>
      <c r="X24" s="64">
        <f t="shared" si="10"/>
        <v>0</v>
      </c>
      <c r="Y24" s="61">
        <f>N24/Constants!$C$14</f>
        <v>0</v>
      </c>
      <c r="Z24" s="61">
        <f>O24/Constants!$C$15</f>
        <v>0</v>
      </c>
      <c r="AA24" s="61">
        <f>P24/Constants!$C$3</f>
        <v>106.53122398001668</v>
      </c>
      <c r="AB24" s="61">
        <f>Q24/Constants!$C$4</f>
        <v>0.75053995680345564</v>
      </c>
      <c r="AC24" s="61">
        <f>R24/Constants!$C$5</f>
        <v>0</v>
      </c>
      <c r="AD24" s="61">
        <f>S24/Constants!$C$6</f>
        <v>44.442174554534105</v>
      </c>
      <c r="AE24" s="61">
        <f>T24/Constants!$C$8</f>
        <v>0.24870263389797317</v>
      </c>
      <c r="AF24" s="61">
        <f>U24/Constants!$C$10</f>
        <v>0.14979338842975207</v>
      </c>
      <c r="AG24" s="61">
        <f>V24/Constants!$C$12</f>
        <v>0</v>
      </c>
      <c r="AH24" s="61">
        <f>W24/Constants!$C$11</f>
        <v>1.1220815425717272</v>
      </c>
      <c r="AI24" s="61">
        <f>X24/Constants!$C$13</f>
        <v>0</v>
      </c>
      <c r="AJ24" s="73">
        <f>Y24*Constants!$D$14</f>
        <v>0</v>
      </c>
      <c r="AK24" s="73">
        <f>Z24*Constants!$D$15</f>
        <v>0</v>
      </c>
      <c r="AL24" s="73">
        <f>AA24*Constants!$D$3</f>
        <v>213.06244796003335</v>
      </c>
      <c r="AM24" s="73">
        <f>AB24*Constants!$D$4</f>
        <v>2.2516198704103667</v>
      </c>
      <c r="AN24" s="73">
        <f>AC24*Constants!$D$5</f>
        <v>0</v>
      </c>
      <c r="AO24" s="73">
        <f>AD24*Constants!$D$6</f>
        <v>177.76869821813642</v>
      </c>
      <c r="AP24" s="73">
        <f>AE24*Constants!$D$8</f>
        <v>1.2435131694898658</v>
      </c>
      <c r="AQ24" s="73">
        <f>AF24*Constants!$D$10</f>
        <v>0.89876033057851235</v>
      </c>
      <c r="AR24" s="73">
        <f>AG24*Constants!$D$12</f>
        <v>0</v>
      </c>
      <c r="AS24" s="73">
        <f>AH24*Constants!$D$11</f>
        <v>4.4883261702869088</v>
      </c>
      <c r="AT24" s="73">
        <f>AI24*Constants!$D$13</f>
        <v>0</v>
      </c>
      <c r="AU24" s="73">
        <f t="shared" si="11"/>
        <v>399.71336571893539</v>
      </c>
      <c r="AV24" s="74">
        <f>Y24*Constants!$E$14</f>
        <v>0</v>
      </c>
      <c r="AW24" s="74">
        <f>Z24*Constants!$E$15</f>
        <v>0</v>
      </c>
      <c r="AX24" s="74">
        <f>AA24*Constants!$E$3</f>
        <v>852.24979184013341</v>
      </c>
      <c r="AY24" s="74">
        <f>AB24*Constants!$E$4</f>
        <v>10.507559395248379</v>
      </c>
      <c r="AZ24" s="74">
        <f>AC24*Constants!$E$5</f>
        <v>0</v>
      </c>
      <c r="BA24" s="74">
        <f>AD24*Constants!$E$6</f>
        <v>888.84349109068216</v>
      </c>
      <c r="BB24" s="74">
        <f>AE24*Constants!$E$8</f>
        <v>6.4662684813473028</v>
      </c>
      <c r="BC24" s="74">
        <f>AF24*Constants!$E$10</f>
        <v>4.7933884297520661</v>
      </c>
      <c r="BD24" s="74">
        <f>AG24*Constants!$E$12</f>
        <v>0</v>
      </c>
      <c r="BE24" s="74">
        <f>AH24*Constants!$E$11</f>
        <v>20.197467766291091</v>
      </c>
      <c r="BF24" s="74">
        <f>AI24*Constants!$E$13</f>
        <v>0</v>
      </c>
      <c r="BG24" s="74">
        <f t="shared" si="12"/>
        <v>1783.0579670034542</v>
      </c>
      <c r="BH24" s="76">
        <f>N24*Constants!$I$14</f>
        <v>0</v>
      </c>
      <c r="BI24" s="76">
        <f>O24*Constants!$I$15</f>
        <v>0</v>
      </c>
      <c r="BJ24" s="76">
        <f>P24*Constants!$I$3</f>
        <v>6823.68</v>
      </c>
      <c r="BK24" s="76">
        <f>Q24*Constants!$I$4</f>
        <v>84.151351351351352</v>
      </c>
      <c r="BL24" s="76">
        <f>R24*Constants!$I$5</f>
        <v>0</v>
      </c>
      <c r="BM24" s="76">
        <f>S24*Constants!$I$6</f>
        <v>7119.6363636363631</v>
      </c>
      <c r="BN24" s="76">
        <f>T24*Constants!$I$8</f>
        <v>51.796078431372543</v>
      </c>
      <c r="BO24" s="76">
        <f>U24*Constants!$I$10</f>
        <v>38.4</v>
      </c>
      <c r="BP24" s="72">
        <f>V24*Constants!$I$12</f>
        <v>0</v>
      </c>
      <c r="BQ24" s="72">
        <f>W24*Constants!$I$11</f>
        <v>170.73488372093021</v>
      </c>
      <c r="BR24" s="72">
        <f>X24*Constants!$I$13</f>
        <v>0</v>
      </c>
      <c r="BS24" s="71">
        <f t="shared" si="13"/>
        <v>14288.398677140016</v>
      </c>
    </row>
    <row r="25" spans="1:71">
      <c r="A25" s="58">
        <f>Rawdata!Y26</f>
        <v>44.022222222221899</v>
      </c>
      <c r="B25" s="59">
        <v>20</v>
      </c>
      <c r="C25" s="60" t="s">
        <v>188</v>
      </c>
      <c r="D25" s="60" t="s">
        <v>188</v>
      </c>
      <c r="E25" s="60">
        <v>320.45999999999998</v>
      </c>
      <c r="F25" s="60">
        <v>3.33</v>
      </c>
      <c r="G25" s="60" t="s">
        <v>188</v>
      </c>
      <c r="H25" s="60">
        <v>193.03</v>
      </c>
      <c r="I25" s="60">
        <v>1.2</v>
      </c>
      <c r="J25" s="60">
        <v>0.88</v>
      </c>
      <c r="K25" s="77">
        <v>0</v>
      </c>
      <c r="L25" s="77">
        <v>6.98</v>
      </c>
      <c r="M25" s="77">
        <v>0</v>
      </c>
      <c r="N25" s="64">
        <f t="shared" si="0"/>
        <v>0</v>
      </c>
      <c r="O25" s="64">
        <f t="shared" si="1"/>
        <v>0</v>
      </c>
      <c r="P25" s="64">
        <f t="shared" si="2"/>
        <v>6409.2</v>
      </c>
      <c r="Q25" s="64">
        <f t="shared" si="3"/>
        <v>66.599999999999994</v>
      </c>
      <c r="R25" s="64">
        <f t="shared" si="4"/>
        <v>0</v>
      </c>
      <c r="S25" s="64">
        <f t="shared" si="5"/>
        <v>3860.6</v>
      </c>
      <c r="T25" s="64">
        <f t="shared" si="6"/>
        <v>24</v>
      </c>
      <c r="U25" s="64">
        <f t="shared" si="7"/>
        <v>17.600000000000001</v>
      </c>
      <c r="V25" s="64">
        <f t="shared" si="8"/>
        <v>0</v>
      </c>
      <c r="W25" s="64">
        <f t="shared" si="9"/>
        <v>69.800000000000011</v>
      </c>
      <c r="X25" s="64">
        <f t="shared" si="10"/>
        <v>0</v>
      </c>
      <c r="Y25" s="61">
        <f>N25/Constants!$C$14</f>
        <v>0</v>
      </c>
      <c r="Z25" s="61">
        <f>O25/Constants!$C$15</f>
        <v>0</v>
      </c>
      <c r="AA25" s="61">
        <f>P25/Constants!$C$3</f>
        <v>106.73105745212324</v>
      </c>
      <c r="AB25" s="61">
        <f>Q25/Constants!$C$4</f>
        <v>0.89902807775377969</v>
      </c>
      <c r="AC25" s="61">
        <f>R25/Constants!$C$5</f>
        <v>0</v>
      </c>
      <c r="AD25" s="61">
        <f>S25/Constants!$C$6</f>
        <v>43.815684939280445</v>
      </c>
      <c r="AE25" s="61">
        <f>T25/Constants!$C$8</f>
        <v>0.23499461470674632</v>
      </c>
      <c r="AF25" s="61">
        <f>U25/Constants!$C$10</f>
        <v>0.15151515151515152</v>
      </c>
      <c r="AG25" s="61">
        <f>V25/Constants!$C$12</f>
        <v>0</v>
      </c>
      <c r="AH25" s="61">
        <f>W25/Constants!$C$11</f>
        <v>0.810779416889302</v>
      </c>
      <c r="AI25" s="61">
        <f>X25/Constants!$C$13</f>
        <v>0</v>
      </c>
      <c r="AJ25" s="73">
        <f>Y25*Constants!$D$14</f>
        <v>0</v>
      </c>
      <c r="AK25" s="73">
        <f>Z25*Constants!$D$15</f>
        <v>0</v>
      </c>
      <c r="AL25" s="73">
        <f>AA25*Constants!$D$3</f>
        <v>213.46211490424648</v>
      </c>
      <c r="AM25" s="73">
        <f>AB25*Constants!$D$4</f>
        <v>2.6970842332613389</v>
      </c>
      <c r="AN25" s="73">
        <f>AC25*Constants!$D$5</f>
        <v>0</v>
      </c>
      <c r="AO25" s="73">
        <f>AD25*Constants!$D$6</f>
        <v>175.26273975712178</v>
      </c>
      <c r="AP25" s="73">
        <f>AE25*Constants!$D$8</f>
        <v>1.1749730735337316</v>
      </c>
      <c r="AQ25" s="73">
        <f>AF25*Constants!$D$10</f>
        <v>0.90909090909090917</v>
      </c>
      <c r="AR25" s="73">
        <f>AG25*Constants!$D$12</f>
        <v>0</v>
      </c>
      <c r="AS25" s="73">
        <f>AH25*Constants!$D$11</f>
        <v>3.243117667557208</v>
      </c>
      <c r="AT25" s="73">
        <f>AI25*Constants!$D$13</f>
        <v>0</v>
      </c>
      <c r="AU25" s="73">
        <f t="shared" si="11"/>
        <v>396.74912054481149</v>
      </c>
      <c r="AV25" s="74">
        <f>Y25*Constants!$E$14</f>
        <v>0</v>
      </c>
      <c r="AW25" s="74">
        <f>Z25*Constants!$E$15</f>
        <v>0</v>
      </c>
      <c r="AX25" s="74">
        <f>AA25*Constants!$E$3</f>
        <v>853.84845961698591</v>
      </c>
      <c r="AY25" s="74">
        <f>AB25*Constants!$E$4</f>
        <v>12.586393088552915</v>
      </c>
      <c r="AZ25" s="74">
        <f>AC25*Constants!$E$5</f>
        <v>0</v>
      </c>
      <c r="BA25" s="74">
        <f>AD25*Constants!$E$6</f>
        <v>876.31369878560895</v>
      </c>
      <c r="BB25" s="74">
        <f>AE25*Constants!$E$8</f>
        <v>6.1098599823754043</v>
      </c>
      <c r="BC25" s="74">
        <f>AF25*Constants!$E$10</f>
        <v>4.8484848484848486</v>
      </c>
      <c r="BD25" s="74">
        <f>AG25*Constants!$E$12</f>
        <v>0</v>
      </c>
      <c r="BE25" s="74">
        <f>AH25*Constants!$E$11</f>
        <v>14.594029504007436</v>
      </c>
      <c r="BF25" s="74">
        <f>AI25*Constants!$E$13</f>
        <v>0</v>
      </c>
      <c r="BG25" s="74">
        <f t="shared" si="12"/>
        <v>1768.3009258260154</v>
      </c>
      <c r="BH25" s="76">
        <f>N25*Constants!$I$14</f>
        <v>0</v>
      </c>
      <c r="BI25" s="76">
        <f>O25*Constants!$I$15</f>
        <v>0</v>
      </c>
      <c r="BJ25" s="76">
        <f>P25*Constants!$I$3</f>
        <v>6836.48</v>
      </c>
      <c r="BK25" s="76">
        <f>Q25*Constants!$I$4</f>
        <v>100.8</v>
      </c>
      <c r="BL25" s="76">
        <f>R25*Constants!$I$5</f>
        <v>0</v>
      </c>
      <c r="BM25" s="76">
        <f>S25*Constants!$I$6</f>
        <v>7019.272727272727</v>
      </c>
      <c r="BN25" s="76">
        <f>T25*Constants!$I$8</f>
        <v>48.941176470588232</v>
      </c>
      <c r="BO25" s="76">
        <f>U25*Constants!$I$10</f>
        <v>38.841379310344827</v>
      </c>
      <c r="BP25" s="72">
        <f>V25*Constants!$I$12</f>
        <v>0</v>
      </c>
      <c r="BQ25" s="72">
        <f>W25*Constants!$I$11</f>
        <v>123.36744186046514</v>
      </c>
      <c r="BR25" s="72">
        <f>X25*Constants!$I$13</f>
        <v>0</v>
      </c>
      <c r="BS25" s="71">
        <f t="shared" si="13"/>
        <v>14167.702724914125</v>
      </c>
    </row>
    <row r="26" spans="1:71">
      <c r="A26" s="58">
        <f>Rawdata!Y27</f>
        <v>46.997222222220444</v>
      </c>
      <c r="B26" s="59">
        <v>20</v>
      </c>
      <c r="C26" s="60" t="s">
        <v>188</v>
      </c>
      <c r="D26" s="60" t="s">
        <v>188</v>
      </c>
      <c r="E26" s="60">
        <v>319.11</v>
      </c>
      <c r="F26" s="60">
        <v>3.64</v>
      </c>
      <c r="G26" s="60" t="s">
        <v>188</v>
      </c>
      <c r="H26" s="60">
        <v>193.7</v>
      </c>
      <c r="I26" s="60">
        <v>1.1100000000000001</v>
      </c>
      <c r="J26" s="60">
        <v>0.48</v>
      </c>
      <c r="K26" s="77">
        <v>0</v>
      </c>
      <c r="L26" s="77">
        <v>6.36</v>
      </c>
      <c r="M26" s="77">
        <v>0</v>
      </c>
      <c r="N26" s="64">
        <f t="shared" si="0"/>
        <v>0</v>
      </c>
      <c r="O26" s="64">
        <f t="shared" si="1"/>
        <v>0</v>
      </c>
      <c r="P26" s="64">
        <f t="shared" si="2"/>
        <v>6382.2000000000007</v>
      </c>
      <c r="Q26" s="64">
        <f t="shared" si="3"/>
        <v>72.8</v>
      </c>
      <c r="R26" s="64">
        <f t="shared" si="4"/>
        <v>0</v>
      </c>
      <c r="S26" s="64">
        <f t="shared" si="5"/>
        <v>3874</v>
      </c>
      <c r="T26" s="64">
        <f t="shared" si="6"/>
        <v>22.200000000000003</v>
      </c>
      <c r="U26" s="64">
        <f t="shared" si="7"/>
        <v>9.6</v>
      </c>
      <c r="V26" s="64">
        <f t="shared" si="8"/>
        <v>0</v>
      </c>
      <c r="W26" s="64">
        <f t="shared" si="9"/>
        <v>63.6</v>
      </c>
      <c r="X26" s="64">
        <f t="shared" si="10"/>
        <v>0</v>
      </c>
      <c r="Y26" s="61">
        <f>N26/Constants!$C$14</f>
        <v>0</v>
      </c>
      <c r="Z26" s="61">
        <f>O26/Constants!$C$15</f>
        <v>0</v>
      </c>
      <c r="AA26" s="61">
        <f>P26/Constants!$C$3</f>
        <v>106.28143213988345</v>
      </c>
      <c r="AB26" s="61">
        <f>Q26/Constants!$C$4</f>
        <v>0.98272138228941686</v>
      </c>
      <c r="AC26" s="61">
        <f>R26/Constants!$C$5</f>
        <v>0</v>
      </c>
      <c r="AD26" s="61">
        <f>S26/Constants!$C$6</f>
        <v>43.967767563273185</v>
      </c>
      <c r="AE26" s="61">
        <f>T26/Constants!$C$8</f>
        <v>0.21737001860374036</v>
      </c>
      <c r="AF26" s="61">
        <f>U26/Constants!$C$10</f>
        <v>8.2644628099173556E-2</v>
      </c>
      <c r="AG26" s="61">
        <f>V26/Constants!$C$12</f>
        <v>0</v>
      </c>
      <c r="AH26" s="61">
        <f>W26/Constants!$C$11</f>
        <v>0.73876176094784529</v>
      </c>
      <c r="AI26" s="61">
        <f>X26/Constants!$C$13</f>
        <v>0</v>
      </c>
      <c r="AJ26" s="73">
        <f>Y26*Constants!$D$14</f>
        <v>0</v>
      </c>
      <c r="AK26" s="73">
        <f>Z26*Constants!$D$15</f>
        <v>0</v>
      </c>
      <c r="AL26" s="73">
        <f>AA26*Constants!$D$3</f>
        <v>212.5628642797669</v>
      </c>
      <c r="AM26" s="73">
        <f>AB26*Constants!$D$4</f>
        <v>2.9481641468682507</v>
      </c>
      <c r="AN26" s="73">
        <f>AC26*Constants!$D$5</f>
        <v>0</v>
      </c>
      <c r="AO26" s="73">
        <f>AD26*Constants!$D$6</f>
        <v>175.87107025309274</v>
      </c>
      <c r="AP26" s="73">
        <f>AE26*Constants!$D$8</f>
        <v>1.0868500930187017</v>
      </c>
      <c r="AQ26" s="73">
        <f>AF26*Constants!$D$10</f>
        <v>0.49586776859504134</v>
      </c>
      <c r="AR26" s="73">
        <f>AG26*Constants!$D$12</f>
        <v>0</v>
      </c>
      <c r="AS26" s="73">
        <f>AH26*Constants!$D$11</f>
        <v>2.9550470437913812</v>
      </c>
      <c r="AT26" s="73">
        <f>AI26*Constants!$D$13</f>
        <v>0</v>
      </c>
      <c r="AU26" s="73">
        <f t="shared" si="11"/>
        <v>395.91986358513293</v>
      </c>
      <c r="AV26" s="74">
        <f>Y26*Constants!$E$14</f>
        <v>0</v>
      </c>
      <c r="AW26" s="74">
        <f>Z26*Constants!$E$15</f>
        <v>0</v>
      </c>
      <c r="AX26" s="74">
        <f>AA26*Constants!$E$3</f>
        <v>850.2514571190676</v>
      </c>
      <c r="AY26" s="74">
        <f>AB26*Constants!$E$4</f>
        <v>13.758099352051836</v>
      </c>
      <c r="AZ26" s="74">
        <f>AC26*Constants!$E$5</f>
        <v>0</v>
      </c>
      <c r="BA26" s="74">
        <f>AD26*Constants!$E$6</f>
        <v>879.3553512654637</v>
      </c>
      <c r="BB26" s="74">
        <f>AE26*Constants!$E$8</f>
        <v>5.6516204836972497</v>
      </c>
      <c r="BC26" s="74">
        <f>AF26*Constants!$E$10</f>
        <v>2.6446280991735538</v>
      </c>
      <c r="BD26" s="74">
        <f>AG26*Constants!$E$12</f>
        <v>0</v>
      </c>
      <c r="BE26" s="74">
        <f>AH26*Constants!$E$11</f>
        <v>13.297711697061215</v>
      </c>
      <c r="BF26" s="74">
        <f>AI26*Constants!$E$13</f>
        <v>0</v>
      </c>
      <c r="BG26" s="74">
        <f t="shared" si="12"/>
        <v>1764.9588680165152</v>
      </c>
      <c r="BH26" s="76">
        <f>N26*Constants!$I$14</f>
        <v>0</v>
      </c>
      <c r="BI26" s="76">
        <f>O26*Constants!$I$15</f>
        <v>0</v>
      </c>
      <c r="BJ26" s="76">
        <f>P26*Constants!$I$3</f>
        <v>6807.68</v>
      </c>
      <c r="BK26" s="76">
        <f>Q26*Constants!$I$4</f>
        <v>110.18378378378378</v>
      </c>
      <c r="BL26" s="76">
        <f>R26*Constants!$I$5</f>
        <v>0</v>
      </c>
      <c r="BM26" s="76">
        <f>S26*Constants!$I$6</f>
        <v>7043.6363636363631</v>
      </c>
      <c r="BN26" s="76">
        <f>T26*Constants!$I$8</f>
        <v>45.27058823529412</v>
      </c>
      <c r="BO26" s="76">
        <f>U26*Constants!$I$10</f>
        <v>21.186206896551724</v>
      </c>
      <c r="BP26" s="72">
        <f>V26*Constants!$I$12</f>
        <v>0</v>
      </c>
      <c r="BQ26" s="72">
        <f>W26*Constants!$I$11</f>
        <v>112.40930232558139</v>
      </c>
      <c r="BR26" s="72">
        <f>X26*Constants!$I$13</f>
        <v>0</v>
      </c>
      <c r="BS26" s="71">
        <f t="shared" si="13"/>
        <v>14140.366244877574</v>
      </c>
    </row>
    <row r="27" spans="1:71">
      <c r="A27" s="58">
        <f>Rawdata!Y28</f>
        <v>48.994444444448163</v>
      </c>
      <c r="B27" s="59">
        <v>20</v>
      </c>
      <c r="C27" s="60" t="s">
        <v>188</v>
      </c>
      <c r="D27" s="60" t="s">
        <v>188</v>
      </c>
      <c r="E27" s="60">
        <v>317.64999999999998</v>
      </c>
      <c r="F27" s="60">
        <v>3.27</v>
      </c>
      <c r="G27" s="60" t="s">
        <v>188</v>
      </c>
      <c r="H27" s="60">
        <v>190.9</v>
      </c>
      <c r="I27" s="60">
        <v>1.1299999999999999</v>
      </c>
      <c r="J27" s="60" t="s">
        <v>188</v>
      </c>
      <c r="K27" s="77">
        <v>0</v>
      </c>
      <c r="L27" s="77">
        <v>7.33</v>
      </c>
      <c r="M27" s="77">
        <v>0</v>
      </c>
      <c r="N27" s="64">
        <f t="shared" si="0"/>
        <v>0</v>
      </c>
      <c r="O27" s="64">
        <f t="shared" si="1"/>
        <v>0</v>
      </c>
      <c r="P27" s="64">
        <f t="shared" si="2"/>
        <v>6353</v>
      </c>
      <c r="Q27" s="64">
        <f t="shared" si="3"/>
        <v>65.400000000000006</v>
      </c>
      <c r="R27" s="64">
        <f t="shared" si="4"/>
        <v>0</v>
      </c>
      <c r="S27" s="64">
        <f t="shared" si="5"/>
        <v>3818</v>
      </c>
      <c r="T27" s="64">
        <f t="shared" si="6"/>
        <v>22.599999999999998</v>
      </c>
      <c r="U27" s="64">
        <f t="shared" si="7"/>
        <v>0</v>
      </c>
      <c r="V27" s="64">
        <f t="shared" si="8"/>
        <v>0</v>
      </c>
      <c r="W27" s="64">
        <f t="shared" si="9"/>
        <v>73.3</v>
      </c>
      <c r="X27" s="64">
        <f t="shared" si="10"/>
        <v>0</v>
      </c>
      <c r="Y27" s="61">
        <f>N27/Constants!$C$14</f>
        <v>0</v>
      </c>
      <c r="Z27" s="61">
        <f>O27/Constants!$C$15</f>
        <v>0</v>
      </c>
      <c r="AA27" s="61">
        <f>P27/Constants!$C$3</f>
        <v>105.79517069109076</v>
      </c>
      <c r="AB27" s="61">
        <f>Q27/Constants!$C$4</f>
        <v>0.88282937365010805</v>
      </c>
      <c r="AC27" s="61">
        <f>R27/Constants!$C$5</f>
        <v>0</v>
      </c>
      <c r="AD27" s="61">
        <f>S27/Constants!$C$6</f>
        <v>43.332198388378167</v>
      </c>
      <c r="AE27" s="61">
        <f>T27/Constants!$C$8</f>
        <v>0.22128659551551944</v>
      </c>
      <c r="AF27" s="61">
        <f>U27/Constants!$C$10</f>
        <v>0</v>
      </c>
      <c r="AG27" s="61">
        <f>V27/Constants!$C$12</f>
        <v>0</v>
      </c>
      <c r="AH27" s="61">
        <f>W27/Constants!$C$11</f>
        <v>0.85143454524334994</v>
      </c>
      <c r="AI27" s="61">
        <f>X27/Constants!$C$13</f>
        <v>0</v>
      </c>
      <c r="AJ27" s="73">
        <f>Y27*Constants!$D$14</f>
        <v>0</v>
      </c>
      <c r="AK27" s="73">
        <f>Z27*Constants!$D$15</f>
        <v>0</v>
      </c>
      <c r="AL27" s="73">
        <f>AA27*Constants!$D$3</f>
        <v>211.59034138218152</v>
      </c>
      <c r="AM27" s="73">
        <f>AB27*Constants!$D$4</f>
        <v>2.6484881209503239</v>
      </c>
      <c r="AN27" s="73">
        <f>AC27*Constants!$D$5</f>
        <v>0</v>
      </c>
      <c r="AO27" s="73">
        <f>AD27*Constants!$D$6</f>
        <v>173.32879355351267</v>
      </c>
      <c r="AP27" s="73">
        <f>AE27*Constants!$D$8</f>
        <v>1.1064329775775972</v>
      </c>
      <c r="AQ27" s="73">
        <f>AF27*Constants!$D$10</f>
        <v>0</v>
      </c>
      <c r="AR27" s="73">
        <f>AG27*Constants!$D$12</f>
        <v>0</v>
      </c>
      <c r="AS27" s="73">
        <f>AH27*Constants!$D$11</f>
        <v>3.4057381809733998</v>
      </c>
      <c r="AT27" s="73">
        <f>AI27*Constants!$D$13</f>
        <v>0</v>
      </c>
      <c r="AU27" s="73">
        <f t="shared" si="11"/>
        <v>392.07979421519548</v>
      </c>
      <c r="AV27" s="74">
        <f>Y27*Constants!$E$14</f>
        <v>0</v>
      </c>
      <c r="AW27" s="74">
        <f>Z27*Constants!$E$15</f>
        <v>0</v>
      </c>
      <c r="AX27" s="74">
        <f>AA27*Constants!$E$3</f>
        <v>846.36136552872608</v>
      </c>
      <c r="AY27" s="74">
        <f>AB27*Constants!$E$4</f>
        <v>12.359611231101512</v>
      </c>
      <c r="AZ27" s="74">
        <f>AC27*Constants!$E$5</f>
        <v>0</v>
      </c>
      <c r="BA27" s="74">
        <f>AD27*Constants!$E$6</f>
        <v>866.64396776756337</v>
      </c>
      <c r="BB27" s="74">
        <f>AE27*Constants!$E$8</f>
        <v>5.7534514834035058</v>
      </c>
      <c r="BC27" s="74">
        <f>AF27*Constants!$E$10</f>
        <v>0</v>
      </c>
      <c r="BD27" s="74">
        <f>AG27*Constants!$E$12</f>
        <v>0</v>
      </c>
      <c r="BE27" s="74">
        <f>AH27*Constants!$E$11</f>
        <v>15.3258218143803</v>
      </c>
      <c r="BF27" s="74">
        <f>AI27*Constants!$E$13</f>
        <v>0</v>
      </c>
      <c r="BG27" s="74">
        <f t="shared" si="12"/>
        <v>1746.4442178251747</v>
      </c>
      <c r="BH27" s="76">
        <f>N27*Constants!$I$14</f>
        <v>0</v>
      </c>
      <c r="BI27" s="76">
        <f>O27*Constants!$I$15</f>
        <v>0</v>
      </c>
      <c r="BJ27" s="76">
        <f>P27*Constants!$I$3</f>
        <v>6776.5333333333328</v>
      </c>
      <c r="BK27" s="76">
        <f>Q27*Constants!$I$4</f>
        <v>98.983783783783792</v>
      </c>
      <c r="BL27" s="76">
        <f>R27*Constants!$I$5</f>
        <v>0</v>
      </c>
      <c r="BM27" s="76">
        <f>S27*Constants!$I$6</f>
        <v>6941.818181818182</v>
      </c>
      <c r="BN27" s="76">
        <f>T27*Constants!$I$8</f>
        <v>46.086274509803914</v>
      </c>
      <c r="BO27" s="76">
        <f>U27*Constants!$I$10</f>
        <v>0</v>
      </c>
      <c r="BP27" s="72">
        <f>V27*Constants!$I$12</f>
        <v>0</v>
      </c>
      <c r="BQ27" s="72">
        <f>W27*Constants!$I$11</f>
        <v>129.55348837209303</v>
      </c>
      <c r="BR27" s="72">
        <f>X27*Constants!$I$13</f>
        <v>0</v>
      </c>
      <c r="BS27" s="71">
        <f t="shared" si="13"/>
        <v>13992.975061817197</v>
      </c>
    </row>
    <row r="28" spans="1:71">
      <c r="A28" s="58">
        <f>Rawdata!Y29</f>
        <v>50.971527777779556</v>
      </c>
      <c r="B28" s="59">
        <v>20</v>
      </c>
      <c r="C28" s="60" t="s">
        <v>188</v>
      </c>
      <c r="D28" s="60" t="s">
        <v>188</v>
      </c>
      <c r="E28" s="60">
        <v>307.55</v>
      </c>
      <c r="F28" s="60">
        <v>3.92</v>
      </c>
      <c r="G28" s="60" t="s">
        <v>188</v>
      </c>
      <c r="H28" s="60">
        <v>186.19</v>
      </c>
      <c r="I28" s="60">
        <v>1.2</v>
      </c>
      <c r="J28" s="60" t="s">
        <v>188</v>
      </c>
      <c r="K28" s="77">
        <v>0</v>
      </c>
      <c r="L28" s="77">
        <v>5.59</v>
      </c>
      <c r="M28" s="77">
        <v>0</v>
      </c>
      <c r="N28" s="64">
        <f t="shared" si="0"/>
        <v>0</v>
      </c>
      <c r="O28" s="64">
        <f t="shared" si="1"/>
        <v>0</v>
      </c>
      <c r="P28" s="64">
        <f t="shared" si="2"/>
        <v>6151</v>
      </c>
      <c r="Q28" s="64">
        <f t="shared" si="3"/>
        <v>78.400000000000006</v>
      </c>
      <c r="R28" s="64">
        <f t="shared" si="4"/>
        <v>0</v>
      </c>
      <c r="S28" s="64">
        <f t="shared" si="5"/>
        <v>3723.8</v>
      </c>
      <c r="T28" s="64">
        <f t="shared" si="6"/>
        <v>24</v>
      </c>
      <c r="U28" s="64">
        <f t="shared" si="7"/>
        <v>0</v>
      </c>
      <c r="V28" s="64">
        <f t="shared" si="8"/>
        <v>0</v>
      </c>
      <c r="W28" s="64">
        <f t="shared" si="9"/>
        <v>55.9</v>
      </c>
      <c r="X28" s="64">
        <f t="shared" si="10"/>
        <v>0</v>
      </c>
      <c r="Y28" s="61">
        <f>N28/Constants!$C$14</f>
        <v>0</v>
      </c>
      <c r="Z28" s="61">
        <f>O28/Constants!$C$15</f>
        <v>0</v>
      </c>
      <c r="AA28" s="61">
        <f>P28/Constants!$C$3</f>
        <v>102.43130724396337</v>
      </c>
      <c r="AB28" s="61">
        <f>Q28/Constants!$C$4</f>
        <v>1.0583153347732182</v>
      </c>
      <c r="AC28" s="61">
        <f>R28/Constants!$C$5</f>
        <v>0</v>
      </c>
      <c r="AD28" s="61">
        <f>S28/Constants!$C$6</f>
        <v>42.263080240608332</v>
      </c>
      <c r="AE28" s="61">
        <f>T28/Constants!$C$8</f>
        <v>0.23499461470674632</v>
      </c>
      <c r="AF28" s="61">
        <f>U28/Constants!$C$10</f>
        <v>0</v>
      </c>
      <c r="AG28" s="61">
        <f>V28/Constants!$C$12</f>
        <v>0</v>
      </c>
      <c r="AH28" s="61">
        <f>W28/Constants!$C$11</f>
        <v>0.64932047856893949</v>
      </c>
      <c r="AI28" s="61">
        <f>X28/Constants!$C$13</f>
        <v>0</v>
      </c>
      <c r="AJ28" s="73">
        <f>Y28*Constants!$D$14</f>
        <v>0</v>
      </c>
      <c r="AK28" s="73">
        <f>Z28*Constants!$D$15</f>
        <v>0</v>
      </c>
      <c r="AL28" s="73">
        <f>AA28*Constants!$D$3</f>
        <v>204.86261448792675</v>
      </c>
      <c r="AM28" s="73">
        <f>AB28*Constants!$D$4</f>
        <v>3.1749460043196542</v>
      </c>
      <c r="AN28" s="73">
        <f>AC28*Constants!$D$5</f>
        <v>0</v>
      </c>
      <c r="AO28" s="73">
        <f>AD28*Constants!$D$6</f>
        <v>169.05232096243333</v>
      </c>
      <c r="AP28" s="73">
        <f>AE28*Constants!$D$8</f>
        <v>1.1749730735337316</v>
      </c>
      <c r="AQ28" s="73">
        <f>AF28*Constants!$D$10</f>
        <v>0</v>
      </c>
      <c r="AR28" s="73">
        <f>AG28*Constants!$D$12</f>
        <v>0</v>
      </c>
      <c r="AS28" s="73">
        <f>AH28*Constants!$D$11</f>
        <v>2.5972819142757579</v>
      </c>
      <c r="AT28" s="73">
        <f>AI28*Constants!$D$13</f>
        <v>0</v>
      </c>
      <c r="AU28" s="73">
        <f t="shared" si="11"/>
        <v>380.8621364424892</v>
      </c>
      <c r="AV28" s="74">
        <f>Y28*Constants!$E$14</f>
        <v>0</v>
      </c>
      <c r="AW28" s="74">
        <f>Z28*Constants!$E$15</f>
        <v>0</v>
      </c>
      <c r="AX28" s="74">
        <f>AA28*Constants!$E$3</f>
        <v>819.45045795170699</v>
      </c>
      <c r="AY28" s="74">
        <f>AB28*Constants!$E$4</f>
        <v>14.816414686825054</v>
      </c>
      <c r="AZ28" s="74">
        <f>AC28*Constants!$E$5</f>
        <v>0</v>
      </c>
      <c r="BA28" s="74">
        <f>AD28*Constants!$E$6</f>
        <v>845.26160481216664</v>
      </c>
      <c r="BB28" s="74">
        <f>AE28*Constants!$E$8</f>
        <v>6.1098599823754043</v>
      </c>
      <c r="BC28" s="74">
        <f>AF28*Constants!$E$10</f>
        <v>0</v>
      </c>
      <c r="BD28" s="74">
        <f>AG28*Constants!$E$12</f>
        <v>0</v>
      </c>
      <c r="BE28" s="74">
        <f>AH28*Constants!$E$11</f>
        <v>11.687768614240911</v>
      </c>
      <c r="BF28" s="74">
        <f>AI28*Constants!$E$13</f>
        <v>0</v>
      </c>
      <c r="BG28" s="74">
        <f t="shared" si="12"/>
        <v>1697.3261060473149</v>
      </c>
      <c r="BH28" s="76">
        <f>N28*Constants!$I$14</f>
        <v>0</v>
      </c>
      <c r="BI28" s="76">
        <f>O28*Constants!$I$15</f>
        <v>0</v>
      </c>
      <c r="BJ28" s="76">
        <f>P28*Constants!$I$3</f>
        <v>6561.0666666666666</v>
      </c>
      <c r="BK28" s="76">
        <f>Q28*Constants!$I$4</f>
        <v>118.65945945945947</v>
      </c>
      <c r="BL28" s="76">
        <f>R28*Constants!$I$5</f>
        <v>0</v>
      </c>
      <c r="BM28" s="76">
        <f>S28*Constants!$I$6</f>
        <v>6770.545454545455</v>
      </c>
      <c r="BN28" s="76">
        <f>T28*Constants!$I$8</f>
        <v>48.941176470588232</v>
      </c>
      <c r="BO28" s="76">
        <f>U28*Constants!$I$10</f>
        <v>0</v>
      </c>
      <c r="BP28" s="72">
        <f>V28*Constants!$I$12</f>
        <v>0</v>
      </c>
      <c r="BQ28" s="72">
        <f>W28*Constants!$I$11</f>
        <v>98.8</v>
      </c>
      <c r="BR28" s="72">
        <f>X28*Constants!$I$13</f>
        <v>0</v>
      </c>
      <c r="BS28" s="71">
        <f t="shared" si="13"/>
        <v>13598.012757142169</v>
      </c>
    </row>
    <row r="29" spans="1:71">
      <c r="A29" s="129">
        <f>Rawdata!Y30</f>
        <v>53.979166666664241</v>
      </c>
      <c r="B29" s="59">
        <v>20</v>
      </c>
      <c r="C29" s="60" t="s">
        <v>188</v>
      </c>
      <c r="D29" s="60" t="s">
        <v>188</v>
      </c>
      <c r="E29" s="60">
        <v>319.7</v>
      </c>
      <c r="F29" s="60">
        <v>3.5</v>
      </c>
      <c r="G29" s="60" t="s">
        <v>188</v>
      </c>
      <c r="H29" s="60">
        <v>194.92</v>
      </c>
      <c r="I29" s="60">
        <v>1.1399999999999999</v>
      </c>
      <c r="J29" s="60" t="s">
        <v>188</v>
      </c>
      <c r="K29" s="77">
        <v>0</v>
      </c>
      <c r="L29" s="77">
        <v>6.21</v>
      </c>
      <c r="M29" s="77">
        <v>0</v>
      </c>
      <c r="N29" s="64">
        <f t="shared" si="0"/>
        <v>0</v>
      </c>
      <c r="O29" s="64">
        <f t="shared" si="1"/>
        <v>0</v>
      </c>
      <c r="P29" s="64">
        <f t="shared" si="2"/>
        <v>6394</v>
      </c>
      <c r="Q29" s="64">
        <f t="shared" si="3"/>
        <v>70</v>
      </c>
      <c r="R29" s="64">
        <f t="shared" si="4"/>
        <v>0</v>
      </c>
      <c r="S29" s="64">
        <f t="shared" si="5"/>
        <v>3898.3999999999996</v>
      </c>
      <c r="T29" s="64">
        <f t="shared" si="6"/>
        <v>22.799999999999997</v>
      </c>
      <c r="U29" s="64">
        <f t="shared" si="7"/>
        <v>0</v>
      </c>
      <c r="V29" s="64">
        <f t="shared" si="8"/>
        <v>0</v>
      </c>
      <c r="W29" s="64">
        <f t="shared" si="9"/>
        <v>62.1</v>
      </c>
      <c r="X29" s="64">
        <f t="shared" si="10"/>
        <v>0</v>
      </c>
      <c r="Y29" s="61">
        <f>N29/Constants!$C$14</f>
        <v>0</v>
      </c>
      <c r="Z29" s="61">
        <f>O29/Constants!$C$15</f>
        <v>0</v>
      </c>
      <c r="AA29" s="61">
        <f>P29/Constants!$C$3</f>
        <v>106.47793505412157</v>
      </c>
      <c r="AB29" s="61">
        <f>Q29/Constants!$C$4</f>
        <v>0.94492440604751626</v>
      </c>
      <c r="AC29" s="61">
        <f>R29/Constants!$C$5</f>
        <v>0</v>
      </c>
      <c r="AD29" s="61">
        <f>S29/Constants!$C$6</f>
        <v>44.24469413233458</v>
      </c>
      <c r="AE29" s="61">
        <f>T29/Constants!$C$8</f>
        <v>0.22324488397140896</v>
      </c>
      <c r="AF29" s="61">
        <f>U29/Constants!$C$10</f>
        <v>0</v>
      </c>
      <c r="AG29" s="61">
        <f>V29/Constants!$C$12</f>
        <v>0</v>
      </c>
      <c r="AH29" s="61">
        <f>W29/Constants!$C$11</f>
        <v>0.72133813451039608</v>
      </c>
      <c r="AI29" s="61">
        <f>X29/Constants!$C$13</f>
        <v>0</v>
      </c>
      <c r="AJ29" s="73">
        <f>Y29*Constants!$D$14</f>
        <v>0</v>
      </c>
      <c r="AK29" s="73">
        <f>Z29*Constants!$D$15</f>
        <v>0</v>
      </c>
      <c r="AL29" s="73">
        <f>AA29*Constants!$D$3</f>
        <v>212.95587010824315</v>
      </c>
      <c r="AM29" s="73">
        <f>AB29*Constants!$D$4</f>
        <v>2.8347732181425487</v>
      </c>
      <c r="AN29" s="73">
        <f>AC29*Constants!$D$5</f>
        <v>0</v>
      </c>
      <c r="AO29" s="73">
        <f>AD29*Constants!$D$6</f>
        <v>176.97877652933832</v>
      </c>
      <c r="AP29" s="73">
        <f>AE29*Constants!$D$8</f>
        <v>1.1162244198570448</v>
      </c>
      <c r="AQ29" s="73">
        <f>AF29*Constants!$D$10</f>
        <v>0</v>
      </c>
      <c r="AR29" s="73">
        <f>AG29*Constants!$D$12</f>
        <v>0</v>
      </c>
      <c r="AS29" s="73">
        <f>AH29*Constants!$D$11</f>
        <v>2.8853525380415843</v>
      </c>
      <c r="AT29" s="73">
        <f>AI29*Constants!$D$13</f>
        <v>0</v>
      </c>
      <c r="AU29" s="73">
        <f t="shared" si="11"/>
        <v>396.77099681362256</v>
      </c>
      <c r="AV29" s="74">
        <f>Y29*Constants!$E$14</f>
        <v>0</v>
      </c>
      <c r="AW29" s="74">
        <f>Z29*Constants!$E$15</f>
        <v>0</v>
      </c>
      <c r="AX29" s="74">
        <f>AA29*Constants!$E$3</f>
        <v>851.82348043297259</v>
      </c>
      <c r="AY29" s="74">
        <f>AB29*Constants!$E$4</f>
        <v>13.228941684665228</v>
      </c>
      <c r="AZ29" s="74">
        <f>AC29*Constants!$E$5</f>
        <v>0</v>
      </c>
      <c r="BA29" s="74">
        <f>AD29*Constants!$E$6</f>
        <v>884.89388264669162</v>
      </c>
      <c r="BB29" s="74">
        <f>AE29*Constants!$E$8</f>
        <v>5.8043669832566334</v>
      </c>
      <c r="BC29" s="74">
        <f>AF29*Constants!$E$10</f>
        <v>0</v>
      </c>
      <c r="BD29" s="74">
        <f>AG29*Constants!$E$12</f>
        <v>0</v>
      </c>
      <c r="BE29" s="74">
        <f>AH29*Constants!$E$11</f>
        <v>12.984086421187129</v>
      </c>
      <c r="BF29" s="74">
        <f>AI29*Constants!$E$13</f>
        <v>0</v>
      </c>
      <c r="BG29" s="74">
        <f t="shared" si="12"/>
        <v>1768.7347581687732</v>
      </c>
      <c r="BH29" s="76">
        <f>N29*Constants!$I$14</f>
        <v>0</v>
      </c>
      <c r="BI29" s="76">
        <f>O29*Constants!$I$15</f>
        <v>0</v>
      </c>
      <c r="BJ29" s="76">
        <f>P29*Constants!$I$3</f>
        <v>6820.2666666666664</v>
      </c>
      <c r="BK29" s="76">
        <f>Q29*Constants!$I$4</f>
        <v>105.94594594594595</v>
      </c>
      <c r="BL29" s="76">
        <f>R29*Constants!$I$5</f>
        <v>0</v>
      </c>
      <c r="BM29" s="76">
        <f>S29*Constants!$I$6</f>
        <v>7087.9999999999991</v>
      </c>
      <c r="BN29" s="76">
        <f>T29*Constants!$I$8</f>
        <v>46.494117647058815</v>
      </c>
      <c r="BO29" s="76">
        <f>U29*Constants!$I$10</f>
        <v>0</v>
      </c>
      <c r="BP29" s="72">
        <f>V29*Constants!$I$12</f>
        <v>0</v>
      </c>
      <c r="BQ29" s="72">
        <f>W29*Constants!$I$11</f>
        <v>109.75813953488372</v>
      </c>
      <c r="BR29" s="72">
        <f>X29*Constants!$I$13</f>
        <v>0</v>
      </c>
      <c r="BS29" s="71">
        <f t="shared" si="13"/>
        <v>14170.464869794554</v>
      </c>
    </row>
    <row r="30" spans="1:71">
      <c r="A30" s="129">
        <f>Rawdata!Y32</f>
        <v>56.019444444442343</v>
      </c>
      <c r="B30" s="59">
        <v>20</v>
      </c>
      <c r="C30" s="60" t="s">
        <v>188</v>
      </c>
      <c r="D30" s="60" t="s">
        <v>188</v>
      </c>
      <c r="E30" s="60">
        <v>290.04000000000002</v>
      </c>
      <c r="F30" s="60">
        <v>3.58</v>
      </c>
      <c r="G30" s="60">
        <v>0.98</v>
      </c>
      <c r="H30" s="60">
        <v>277.2</v>
      </c>
      <c r="I30" s="60">
        <v>1.31</v>
      </c>
      <c r="J30" s="60">
        <v>0.81</v>
      </c>
      <c r="K30" s="77">
        <v>1.26</v>
      </c>
      <c r="L30" s="77">
        <v>1.78</v>
      </c>
      <c r="M30" s="77">
        <v>0</v>
      </c>
      <c r="N30" s="64">
        <f t="shared" si="0"/>
        <v>0</v>
      </c>
      <c r="O30" s="64">
        <f t="shared" si="1"/>
        <v>0</v>
      </c>
      <c r="P30" s="64">
        <f t="shared" si="2"/>
        <v>5800.8</v>
      </c>
      <c r="Q30" s="64">
        <f t="shared" si="3"/>
        <v>71.599999999999994</v>
      </c>
      <c r="R30" s="64">
        <f t="shared" si="4"/>
        <v>19.600000000000001</v>
      </c>
      <c r="S30" s="64">
        <f t="shared" si="5"/>
        <v>5544</v>
      </c>
      <c r="T30" s="64">
        <f t="shared" si="6"/>
        <v>26.200000000000003</v>
      </c>
      <c r="U30" s="64">
        <f t="shared" si="7"/>
        <v>16.200000000000003</v>
      </c>
      <c r="V30" s="64">
        <f t="shared" si="8"/>
        <v>12.6</v>
      </c>
      <c r="W30" s="64">
        <f t="shared" si="9"/>
        <v>17.8</v>
      </c>
      <c r="X30" s="64">
        <f t="shared" si="10"/>
        <v>0</v>
      </c>
      <c r="Y30" s="61">
        <f>N30/Constants!$C$14</f>
        <v>0</v>
      </c>
      <c r="Z30" s="61">
        <f>O30/Constants!$C$15</f>
        <v>0</v>
      </c>
      <c r="AA30" s="61">
        <f>P30/Constants!$C$3</f>
        <v>96.599500416319742</v>
      </c>
      <c r="AB30" s="61">
        <f>Q30/Constants!$C$4</f>
        <v>0.96652267818574511</v>
      </c>
      <c r="AC30" s="61">
        <f>R30/Constants!$C$5</f>
        <v>0.22244921121325617</v>
      </c>
      <c r="AD30" s="61">
        <f>S30/Constants!$C$6</f>
        <v>62.921348314606739</v>
      </c>
      <c r="AE30" s="61">
        <f>T30/Constants!$C$8</f>
        <v>0.25653578772153141</v>
      </c>
      <c r="AF30" s="61">
        <f>U30/Constants!$C$10</f>
        <v>0.13946280991735541</v>
      </c>
      <c r="AG30" s="61">
        <f>V30/Constants!$C$12</f>
        <v>0.12103223203607913</v>
      </c>
      <c r="AH30" s="61">
        <f>W30/Constants!$C$11</f>
        <v>0.20676036705773029</v>
      </c>
      <c r="AI30" s="61">
        <f>X30/Constants!$C$13</f>
        <v>0</v>
      </c>
      <c r="AJ30" s="73">
        <f>Y30*Constants!$D$14</f>
        <v>0</v>
      </c>
      <c r="AK30" s="73">
        <f>Z30*Constants!$D$15</f>
        <v>0</v>
      </c>
      <c r="AL30" s="73">
        <f>AA30*Constants!$D$3</f>
        <v>193.19900083263948</v>
      </c>
      <c r="AM30" s="73">
        <f>AB30*Constants!$D$4</f>
        <v>2.8995680345572352</v>
      </c>
      <c r="AN30" s="73">
        <f>AC30*Constants!$D$5</f>
        <v>0.88979684485302468</v>
      </c>
      <c r="AO30" s="73">
        <f>AD30*Constants!$D$6</f>
        <v>251.68539325842696</v>
      </c>
      <c r="AP30" s="73">
        <f>AE30*Constants!$D$8</f>
        <v>1.2826789386076571</v>
      </c>
      <c r="AQ30" s="73">
        <f>AF30*Constants!$D$10</f>
        <v>0.8367768595041325</v>
      </c>
      <c r="AR30" s="73">
        <f>AG30*Constants!$D$12</f>
        <v>0.48412892814431652</v>
      </c>
      <c r="AS30" s="73">
        <f>AH30*Constants!$D$11</f>
        <v>0.82704146823092117</v>
      </c>
      <c r="AT30" s="73">
        <f>AI30*Constants!$D$13</f>
        <v>0</v>
      </c>
      <c r="AU30" s="73">
        <f t="shared" si="11"/>
        <v>452.10438516496373</v>
      </c>
      <c r="AV30" s="74">
        <f>Y30*Constants!$E$14</f>
        <v>0</v>
      </c>
      <c r="AW30" s="74">
        <f>Z30*Constants!$E$15</f>
        <v>0</v>
      </c>
      <c r="AX30" s="74">
        <f>AA30*Constants!$E$3</f>
        <v>772.79600333055794</v>
      </c>
      <c r="AY30" s="74">
        <f>AB30*Constants!$E$4</f>
        <v>13.531317494600431</v>
      </c>
      <c r="AZ30" s="74">
        <f>AC30*Constants!$E$5</f>
        <v>4.4489842242651232</v>
      </c>
      <c r="BA30" s="74">
        <f>AD30*Constants!$E$6</f>
        <v>1258.4269662921347</v>
      </c>
      <c r="BB30" s="74">
        <f>AE30*Constants!$E$8</f>
        <v>6.6699304807598168</v>
      </c>
      <c r="BC30" s="74">
        <f>AF30*Constants!$E$10</f>
        <v>4.462809917355373</v>
      </c>
      <c r="BD30" s="74">
        <f>AG30*Constants!$E$12</f>
        <v>2.1785801766494242</v>
      </c>
      <c r="BE30" s="74">
        <f>AH30*Constants!$E$11</f>
        <v>3.7216866070391452</v>
      </c>
      <c r="BF30" s="74">
        <f>AI30*Constants!$E$13</f>
        <v>0</v>
      </c>
      <c r="BG30" s="74">
        <f t="shared" si="12"/>
        <v>2066.2362785233622</v>
      </c>
      <c r="BH30" s="76">
        <f>N30*Constants!$I$14</f>
        <v>0</v>
      </c>
      <c r="BI30" s="76">
        <f>O30*Constants!$I$15</f>
        <v>0</v>
      </c>
      <c r="BJ30" s="76">
        <f>P30*Constants!$I$3</f>
        <v>6187.52</v>
      </c>
      <c r="BK30" s="76">
        <f>Q30*Constants!$I$4</f>
        <v>108.36756756756756</v>
      </c>
      <c r="BL30" s="76">
        <f>R30*Constants!$I$5</f>
        <v>35.63636363636364</v>
      </c>
      <c r="BM30" s="76">
        <f>S30*Constants!$I$6</f>
        <v>10080</v>
      </c>
      <c r="BN30" s="76">
        <f>T30*Constants!$I$8</f>
        <v>53.427450980392159</v>
      </c>
      <c r="BO30" s="76">
        <f>U30*Constants!$I$10</f>
        <v>35.751724137931042</v>
      </c>
      <c r="BP30" s="72">
        <f>V30*Constants!$I$12</f>
        <v>17.446153846153845</v>
      </c>
      <c r="BQ30" s="72">
        <f>W30*Constants!$I$11</f>
        <v>31.460465116279071</v>
      </c>
      <c r="BR30" s="72">
        <f>X30*Constants!$I$13</f>
        <v>0</v>
      </c>
      <c r="BS30" s="71">
        <f t="shared" si="13"/>
        <v>16549.609725284692</v>
      </c>
    </row>
    <row r="31" spans="1:71">
      <c r="A31" s="58">
        <f>Rawdata!Y33</f>
        <v>57.995833333334303</v>
      </c>
      <c r="B31" s="59">
        <v>20</v>
      </c>
      <c r="C31" s="60">
        <v>0.59</v>
      </c>
      <c r="D31" s="60" t="s">
        <v>188</v>
      </c>
      <c r="E31" s="60">
        <v>272.63</v>
      </c>
      <c r="F31" s="60">
        <v>3.56</v>
      </c>
      <c r="G31" s="60">
        <v>1.18</v>
      </c>
      <c r="H31" s="60">
        <v>315.10000000000002</v>
      </c>
      <c r="I31" s="60">
        <v>1.1499999999999999</v>
      </c>
      <c r="J31" s="60">
        <v>2.39</v>
      </c>
      <c r="K31" s="77">
        <v>1.61</v>
      </c>
      <c r="L31" s="77">
        <v>1.96</v>
      </c>
      <c r="M31" s="77">
        <v>0</v>
      </c>
      <c r="N31" s="64">
        <f t="shared" si="0"/>
        <v>11.799999999999999</v>
      </c>
      <c r="O31" s="64">
        <f t="shared" si="1"/>
        <v>0</v>
      </c>
      <c r="P31" s="64">
        <f t="shared" si="2"/>
        <v>5452.6</v>
      </c>
      <c r="Q31" s="64">
        <f t="shared" si="3"/>
        <v>71.2</v>
      </c>
      <c r="R31" s="64">
        <f t="shared" si="4"/>
        <v>23.599999999999998</v>
      </c>
      <c r="S31" s="64">
        <f t="shared" si="5"/>
        <v>6302</v>
      </c>
      <c r="T31" s="64">
        <f t="shared" si="6"/>
        <v>23</v>
      </c>
      <c r="U31" s="64">
        <f t="shared" si="7"/>
        <v>47.800000000000004</v>
      </c>
      <c r="V31" s="64">
        <f t="shared" si="8"/>
        <v>16.100000000000001</v>
      </c>
      <c r="W31" s="64">
        <f t="shared" si="9"/>
        <v>19.600000000000001</v>
      </c>
      <c r="X31" s="64">
        <f t="shared" si="10"/>
        <v>0</v>
      </c>
      <c r="Y31" s="61">
        <f>N31/Constants!$C$14</f>
        <v>0.25614309281931058</v>
      </c>
      <c r="Z31" s="61">
        <f>O31/Constants!$C$15</f>
        <v>0</v>
      </c>
      <c r="AA31" s="61">
        <f>P31/Constants!$C$3</f>
        <v>90.800999167360544</v>
      </c>
      <c r="AB31" s="61">
        <f>Q31/Constants!$C$4</f>
        <v>0.96112311015118801</v>
      </c>
      <c r="AC31" s="61">
        <f>R31/Constants!$C$5</f>
        <v>0.26784700942004308</v>
      </c>
      <c r="AD31" s="61">
        <f>S31/Constants!$C$6</f>
        <v>71.52423107479288</v>
      </c>
      <c r="AE31" s="61">
        <f>T31/Constants!$C$8</f>
        <v>0.22520317242729856</v>
      </c>
      <c r="AF31" s="61">
        <f>U31/Constants!$C$10</f>
        <v>0.41150137741046838</v>
      </c>
      <c r="AG31" s="61">
        <f>V31/Constants!$C$12</f>
        <v>0.15465229649054557</v>
      </c>
      <c r="AH31" s="61">
        <f>W31/Constants!$C$11</f>
        <v>0.22766871878266931</v>
      </c>
      <c r="AI31" s="61">
        <f>X31/Constants!$C$13</f>
        <v>0</v>
      </c>
      <c r="AJ31" s="73">
        <f>Y31*Constants!$D$14</f>
        <v>0.51228618563862116</v>
      </c>
      <c r="AK31" s="73">
        <f>Z31*Constants!$D$15</f>
        <v>0</v>
      </c>
      <c r="AL31" s="73">
        <f>AA31*Constants!$D$3</f>
        <v>181.60199833472109</v>
      </c>
      <c r="AM31" s="73">
        <f>AB31*Constants!$D$4</f>
        <v>2.8833693304535641</v>
      </c>
      <c r="AN31" s="73">
        <f>AC31*Constants!$D$5</f>
        <v>1.0713880376801723</v>
      </c>
      <c r="AO31" s="73">
        <f>AD31*Constants!$D$6</f>
        <v>286.09692429917152</v>
      </c>
      <c r="AP31" s="73">
        <f>AE31*Constants!$D$8</f>
        <v>1.1260158621364929</v>
      </c>
      <c r="AQ31" s="73">
        <f>AF31*Constants!$D$10</f>
        <v>2.4690082644628104</v>
      </c>
      <c r="AR31" s="73">
        <f>AG31*Constants!$D$12</f>
        <v>0.61860918596218228</v>
      </c>
      <c r="AS31" s="73">
        <f>AH31*Constants!$D$11</f>
        <v>0.91067487513067724</v>
      </c>
      <c r="AT31" s="73">
        <f>AI31*Constants!$D$13</f>
        <v>0</v>
      </c>
      <c r="AU31" s="73">
        <f t="shared" si="11"/>
        <v>477.29027437535711</v>
      </c>
      <c r="AV31" s="74">
        <f>Y31*Constants!$E$14</f>
        <v>3.073717113831727</v>
      </c>
      <c r="AW31" s="74">
        <f>Z31*Constants!$E$15</f>
        <v>0</v>
      </c>
      <c r="AX31" s="74">
        <f>AA31*Constants!$E$3</f>
        <v>726.40799333888435</v>
      </c>
      <c r="AY31" s="74">
        <f>AB31*Constants!$E$4</f>
        <v>13.455723542116631</v>
      </c>
      <c r="AZ31" s="74">
        <f>AC31*Constants!$E$5</f>
        <v>5.3569401884008618</v>
      </c>
      <c r="BA31" s="74">
        <f>AD31*Constants!$E$6</f>
        <v>1430.4846214958575</v>
      </c>
      <c r="BB31" s="74">
        <f>AE31*Constants!$E$8</f>
        <v>5.8552824831097627</v>
      </c>
      <c r="BC31" s="74">
        <f>AF31*Constants!$E$10</f>
        <v>13.168044077134988</v>
      </c>
      <c r="BD31" s="74">
        <f>AG31*Constants!$E$12</f>
        <v>2.7837413368298201</v>
      </c>
      <c r="BE31" s="74">
        <f>AH31*Constants!$E$11</f>
        <v>4.0980369380880477</v>
      </c>
      <c r="BF31" s="74">
        <f>AI31*Constants!$E$13</f>
        <v>0</v>
      </c>
      <c r="BG31" s="74">
        <f t="shared" si="12"/>
        <v>2204.6841005142542</v>
      </c>
      <c r="BH31" s="76">
        <f>N31*Constants!$I$14</f>
        <v>24.543999999999997</v>
      </c>
      <c r="BI31" s="76">
        <f>O31*Constants!$I$15</f>
        <v>0</v>
      </c>
      <c r="BJ31" s="76">
        <f>P31*Constants!$I$3</f>
        <v>5816.1066666666666</v>
      </c>
      <c r="BK31" s="76">
        <f>Q31*Constants!$I$4</f>
        <v>107.76216216216217</v>
      </c>
      <c r="BL31" s="76">
        <f>R31*Constants!$I$5</f>
        <v>42.909090909090907</v>
      </c>
      <c r="BM31" s="76">
        <f>S31*Constants!$I$6</f>
        <v>11458.181818181818</v>
      </c>
      <c r="BN31" s="76">
        <f>T31*Constants!$I$8</f>
        <v>46.901960784313722</v>
      </c>
      <c r="BO31" s="76">
        <f>U31*Constants!$I$10</f>
        <v>105.4896551724138</v>
      </c>
      <c r="BP31" s="72">
        <f>V31*Constants!$I$12</f>
        <v>22.292307692307695</v>
      </c>
      <c r="BQ31" s="72">
        <f>W31*Constants!$I$11</f>
        <v>34.641860465116281</v>
      </c>
      <c r="BR31" s="72">
        <f>X31*Constants!$I$13</f>
        <v>0</v>
      </c>
      <c r="BS31" s="71">
        <f t="shared" si="13"/>
        <v>17658.829522033888</v>
      </c>
    </row>
    <row r="32" spans="1:71">
      <c r="A32" s="58">
        <f>Rawdata!Y34</f>
        <v>61.00138888888614</v>
      </c>
      <c r="B32" s="59">
        <v>20</v>
      </c>
      <c r="C32" s="60">
        <v>1.1200000000000001</v>
      </c>
      <c r="D32" s="60" t="s">
        <v>188</v>
      </c>
      <c r="E32" s="60">
        <v>248.7</v>
      </c>
      <c r="F32" s="60">
        <v>3.85</v>
      </c>
      <c r="G32" s="60">
        <v>1.19</v>
      </c>
      <c r="H32" s="60">
        <v>345.44</v>
      </c>
      <c r="I32" s="60">
        <v>1.23</v>
      </c>
      <c r="J32" s="60">
        <v>4.97</v>
      </c>
      <c r="K32" s="77">
        <v>1.55</v>
      </c>
      <c r="L32" s="77">
        <v>2.84</v>
      </c>
      <c r="M32" s="77">
        <v>0</v>
      </c>
      <c r="N32" s="64">
        <f t="shared" si="0"/>
        <v>22.400000000000002</v>
      </c>
      <c r="O32" s="64">
        <f t="shared" si="1"/>
        <v>0</v>
      </c>
      <c r="P32" s="64">
        <f t="shared" si="2"/>
        <v>4974</v>
      </c>
      <c r="Q32" s="64">
        <f t="shared" si="3"/>
        <v>77</v>
      </c>
      <c r="R32" s="64">
        <f t="shared" si="4"/>
        <v>23.799999999999997</v>
      </c>
      <c r="S32" s="64">
        <f t="shared" si="5"/>
        <v>6908.8</v>
      </c>
      <c r="T32" s="64">
        <f t="shared" si="6"/>
        <v>24.6</v>
      </c>
      <c r="U32" s="64">
        <f t="shared" si="7"/>
        <v>99.399999999999991</v>
      </c>
      <c r="V32" s="64">
        <f t="shared" si="8"/>
        <v>15.5</v>
      </c>
      <c r="W32" s="64">
        <f t="shared" si="9"/>
        <v>28.4</v>
      </c>
      <c r="X32" s="64">
        <f t="shared" si="10"/>
        <v>0</v>
      </c>
      <c r="Y32" s="61">
        <f>N32/Constants!$C$14</f>
        <v>0.4862377355214032</v>
      </c>
      <c r="Z32" s="61">
        <f>O32/Constants!$C$15</f>
        <v>0</v>
      </c>
      <c r="AA32" s="61">
        <f>P32/Constants!$C$3</f>
        <v>82.830974188176526</v>
      </c>
      <c r="AB32" s="61">
        <f>Q32/Constants!$C$4</f>
        <v>1.0394168466522677</v>
      </c>
      <c r="AC32" s="61">
        <f>R32/Constants!$C$5</f>
        <v>0.27011689933038247</v>
      </c>
      <c r="AD32" s="61">
        <f>S32/Constants!$C$6</f>
        <v>78.411077062762459</v>
      </c>
      <c r="AE32" s="61">
        <f>T32/Constants!$C$8</f>
        <v>0.240869480074415</v>
      </c>
      <c r="AF32" s="61">
        <f>U32/Constants!$C$10</f>
        <v>0.85571625344352609</v>
      </c>
      <c r="AG32" s="61">
        <f>V32/Constants!$C$12</f>
        <v>0.14888885686977987</v>
      </c>
      <c r="AH32" s="61">
        <f>W32/Constants!$C$11</f>
        <v>0.32988732721570446</v>
      </c>
      <c r="AI32" s="61">
        <f>X32/Constants!$C$13</f>
        <v>0</v>
      </c>
      <c r="AJ32" s="73">
        <f>Y32*Constants!$D$14</f>
        <v>0.97247547104280641</v>
      </c>
      <c r="AK32" s="73">
        <f>Z32*Constants!$D$15</f>
        <v>0</v>
      </c>
      <c r="AL32" s="73">
        <f>AA32*Constants!$D$3</f>
        <v>165.66194837635305</v>
      </c>
      <c r="AM32" s="73">
        <f>AB32*Constants!$D$4</f>
        <v>3.1182505399568035</v>
      </c>
      <c r="AN32" s="73">
        <f>AC32*Constants!$D$5</f>
        <v>1.0804675973215299</v>
      </c>
      <c r="AO32" s="73">
        <f>AD32*Constants!$D$6</f>
        <v>313.64430825104984</v>
      </c>
      <c r="AP32" s="73">
        <f>AE32*Constants!$D$8</f>
        <v>1.2043474003720749</v>
      </c>
      <c r="AQ32" s="73">
        <f>AF32*Constants!$D$10</f>
        <v>5.134297520661157</v>
      </c>
      <c r="AR32" s="73">
        <f>AG32*Constants!$D$12</f>
        <v>0.59555542747911949</v>
      </c>
      <c r="AS32" s="73">
        <f>AH32*Constants!$D$11</f>
        <v>1.3195493088628178</v>
      </c>
      <c r="AT32" s="73">
        <f>AI32*Constants!$D$13</f>
        <v>0</v>
      </c>
      <c r="AU32" s="73">
        <f t="shared" si="11"/>
        <v>492.73119989309913</v>
      </c>
      <c r="AV32" s="74">
        <f>Y32*Constants!$E$14</f>
        <v>5.8348528262568387</v>
      </c>
      <c r="AW32" s="74">
        <f>Z32*Constants!$E$15</f>
        <v>0</v>
      </c>
      <c r="AX32" s="74">
        <f>AA32*Constants!$E$3</f>
        <v>662.64779350541221</v>
      </c>
      <c r="AY32" s="74">
        <f>AB32*Constants!$E$4</f>
        <v>14.551835853131749</v>
      </c>
      <c r="AZ32" s="74">
        <f>AC32*Constants!$E$5</f>
        <v>5.4023379866076491</v>
      </c>
      <c r="BA32" s="74">
        <f>AD32*Constants!$E$6</f>
        <v>1568.2215412552491</v>
      </c>
      <c r="BB32" s="74">
        <f>AE32*Constants!$E$8</f>
        <v>6.2626064819347897</v>
      </c>
      <c r="BC32" s="74">
        <f>AF32*Constants!$E$10</f>
        <v>27.382920110192835</v>
      </c>
      <c r="BD32" s="74">
        <f>AG32*Constants!$E$12</f>
        <v>2.6799994236560378</v>
      </c>
      <c r="BE32" s="74">
        <f>AH32*Constants!$E$11</f>
        <v>5.9379718898826805</v>
      </c>
      <c r="BF32" s="74">
        <f>AI32*Constants!$E$13</f>
        <v>0</v>
      </c>
      <c r="BG32" s="74">
        <f t="shared" si="12"/>
        <v>2298.9218593323239</v>
      </c>
      <c r="BH32" s="76">
        <f>N32*Constants!$I$14</f>
        <v>46.592000000000006</v>
      </c>
      <c r="BI32" s="76">
        <f>O32*Constants!$I$15</f>
        <v>0</v>
      </c>
      <c r="BJ32" s="76">
        <f>P32*Constants!$I$3</f>
        <v>5305.6</v>
      </c>
      <c r="BK32" s="76">
        <f>Q32*Constants!$I$4</f>
        <v>116.54054054054055</v>
      </c>
      <c r="BL32" s="76">
        <f>R32*Constants!$I$5</f>
        <v>43.272727272727266</v>
      </c>
      <c r="BM32" s="76">
        <f>S32*Constants!$I$6</f>
        <v>12561.454545454546</v>
      </c>
      <c r="BN32" s="76">
        <f>T32*Constants!$I$8</f>
        <v>50.164705882352941</v>
      </c>
      <c r="BO32" s="76">
        <f>U32*Constants!$I$10</f>
        <v>219.36551724137928</v>
      </c>
      <c r="BP32" s="72">
        <f>V32*Constants!$I$12</f>
        <v>21.46153846153846</v>
      </c>
      <c r="BQ32" s="72">
        <f>W32*Constants!$I$11</f>
        <v>50.195348837209302</v>
      </c>
      <c r="BR32" s="72">
        <f>X32*Constants!$I$13</f>
        <v>0</v>
      </c>
      <c r="BS32" s="71">
        <f t="shared" si="13"/>
        <v>18414.646923690296</v>
      </c>
    </row>
    <row r="33" spans="1:83">
      <c r="A33" s="58">
        <f>Rawdata!Y35</f>
        <v>62.996527777781012</v>
      </c>
      <c r="B33" s="59">
        <v>20</v>
      </c>
      <c r="C33" s="60" t="s">
        <v>188</v>
      </c>
      <c r="D33" s="60" t="s">
        <v>188</v>
      </c>
      <c r="E33" s="60">
        <v>243.34</v>
      </c>
      <c r="F33" s="60">
        <v>3.68</v>
      </c>
      <c r="G33" s="60">
        <v>0.95</v>
      </c>
      <c r="H33" s="60">
        <v>340.3</v>
      </c>
      <c r="I33" s="60">
        <v>1.4</v>
      </c>
      <c r="J33" s="60">
        <v>6.1</v>
      </c>
      <c r="K33" s="77">
        <v>2.2200000000000002</v>
      </c>
      <c r="L33" s="77">
        <v>3.12</v>
      </c>
      <c r="M33" s="77">
        <v>0</v>
      </c>
      <c r="N33" s="64">
        <f t="shared" si="0"/>
        <v>0</v>
      </c>
      <c r="O33" s="64">
        <f t="shared" si="1"/>
        <v>0</v>
      </c>
      <c r="P33" s="64">
        <f t="shared" si="2"/>
        <v>4866.8</v>
      </c>
      <c r="Q33" s="64">
        <f t="shared" si="3"/>
        <v>73.600000000000009</v>
      </c>
      <c r="R33" s="64">
        <f t="shared" si="4"/>
        <v>19</v>
      </c>
      <c r="S33" s="64">
        <f t="shared" si="5"/>
        <v>6806</v>
      </c>
      <c r="T33" s="64">
        <f t="shared" si="6"/>
        <v>28</v>
      </c>
      <c r="U33" s="64">
        <f t="shared" si="7"/>
        <v>122</v>
      </c>
      <c r="V33" s="64">
        <f t="shared" si="8"/>
        <v>22.200000000000003</v>
      </c>
      <c r="W33" s="64">
        <f t="shared" si="9"/>
        <v>31.200000000000003</v>
      </c>
      <c r="X33" s="64">
        <f t="shared" si="10"/>
        <v>0</v>
      </c>
      <c r="Y33" s="61">
        <f>N33/Constants!$C$14</f>
        <v>0</v>
      </c>
      <c r="Z33" s="61">
        <f>O33/Constants!$C$15</f>
        <v>0</v>
      </c>
      <c r="AA33" s="61">
        <f>P33/Constants!$C$3</f>
        <v>81.045795170691093</v>
      </c>
      <c r="AB33" s="61">
        <f>Q33/Constants!$C$4</f>
        <v>0.9935205183585315</v>
      </c>
      <c r="AC33" s="61">
        <f>R33/Constants!$C$5</f>
        <v>0.2156395414822381</v>
      </c>
      <c r="AD33" s="61">
        <f>S33/Constants!$C$6</f>
        <v>77.244353648848033</v>
      </c>
      <c r="AE33" s="61">
        <f>T33/Constants!$C$8</f>
        <v>0.27416038382453739</v>
      </c>
      <c r="AF33" s="61">
        <f>U33/Constants!$C$10</f>
        <v>1.0502754820936639</v>
      </c>
      <c r="AG33" s="61">
        <f>V33/Constants!$C$12</f>
        <v>0.21324726596832994</v>
      </c>
      <c r="AH33" s="61">
        <f>W33/Constants!$C$11</f>
        <v>0.36241142989894298</v>
      </c>
      <c r="AI33" s="61">
        <f>X33/Constants!$C$13</f>
        <v>0</v>
      </c>
      <c r="AJ33" s="73">
        <f>Y33*Constants!$D$14</f>
        <v>0</v>
      </c>
      <c r="AK33" s="73">
        <f>Z33*Constants!$D$15</f>
        <v>0</v>
      </c>
      <c r="AL33" s="73">
        <f>AA33*Constants!$D$3</f>
        <v>162.09159034138219</v>
      </c>
      <c r="AM33" s="73">
        <f>AB33*Constants!$D$4</f>
        <v>2.9805615550755946</v>
      </c>
      <c r="AN33" s="73">
        <f>AC33*Constants!$D$5</f>
        <v>0.8625581659289524</v>
      </c>
      <c r="AO33" s="73">
        <f>AD33*Constants!$D$6</f>
        <v>308.97741459539213</v>
      </c>
      <c r="AP33" s="73">
        <f>AE33*Constants!$D$8</f>
        <v>1.370801919122687</v>
      </c>
      <c r="AQ33" s="73">
        <f>AF33*Constants!$D$10</f>
        <v>6.3016528925619841</v>
      </c>
      <c r="AR33" s="73">
        <f>AG33*Constants!$D$12</f>
        <v>0.85298906387331974</v>
      </c>
      <c r="AS33" s="73">
        <f>AH33*Constants!$D$11</f>
        <v>1.4496457195957719</v>
      </c>
      <c r="AT33" s="73">
        <f>AI33*Constants!$D$13</f>
        <v>0</v>
      </c>
      <c r="AU33" s="73">
        <f t="shared" si="11"/>
        <v>484.88721425293267</v>
      </c>
      <c r="AV33" s="74">
        <f>Y33*Constants!$E$14</f>
        <v>0</v>
      </c>
      <c r="AW33" s="74">
        <f>Z33*Constants!$E$15</f>
        <v>0</v>
      </c>
      <c r="AX33" s="74">
        <f>AA33*Constants!$E$3</f>
        <v>648.36636136552875</v>
      </c>
      <c r="AY33" s="74">
        <f>AB33*Constants!$E$4</f>
        <v>13.909287257019441</v>
      </c>
      <c r="AZ33" s="74">
        <f>AC33*Constants!$E$5</f>
        <v>4.3127908296447623</v>
      </c>
      <c r="BA33" s="74">
        <f>AD33*Constants!$E$6</f>
        <v>1544.8870729769606</v>
      </c>
      <c r="BB33" s="74">
        <f>AE33*Constants!$E$8</f>
        <v>7.1281699794379723</v>
      </c>
      <c r="BC33" s="74">
        <f>AF33*Constants!$E$10</f>
        <v>33.608815426997246</v>
      </c>
      <c r="BD33" s="74">
        <f>AG33*Constants!$E$12</f>
        <v>3.8384507874299389</v>
      </c>
      <c r="BE33" s="74">
        <f>AH33*Constants!$E$11</f>
        <v>6.5234057381809736</v>
      </c>
      <c r="BF33" s="74">
        <f>AI33*Constants!$E$13</f>
        <v>0</v>
      </c>
      <c r="BG33" s="74">
        <f t="shared" si="12"/>
        <v>2262.5743543611993</v>
      </c>
      <c r="BH33" s="76">
        <f>N33*Constants!$I$14</f>
        <v>0</v>
      </c>
      <c r="BI33" s="76">
        <f>O33*Constants!$I$15</f>
        <v>0</v>
      </c>
      <c r="BJ33" s="76">
        <f>P33*Constants!$I$3</f>
        <v>5191.2533333333331</v>
      </c>
      <c r="BK33" s="76">
        <f>Q33*Constants!$I$4</f>
        <v>111.39459459459461</v>
      </c>
      <c r="BL33" s="76">
        <f>R33*Constants!$I$5</f>
        <v>34.545454545454547</v>
      </c>
      <c r="BM33" s="76">
        <f>S33*Constants!$I$6</f>
        <v>12374.545454545454</v>
      </c>
      <c r="BN33" s="76">
        <f>T33*Constants!$I$8</f>
        <v>57.098039215686271</v>
      </c>
      <c r="BO33" s="76">
        <f>U33*Constants!$I$10</f>
        <v>269.24137931034483</v>
      </c>
      <c r="BP33" s="72">
        <f>V33*Constants!$I$12</f>
        <v>30.738461538461543</v>
      </c>
      <c r="BQ33" s="72">
        <f>W33*Constants!$I$11</f>
        <v>55.144186046511635</v>
      </c>
      <c r="BR33" s="72">
        <f>X33*Constants!$I$13</f>
        <v>0</v>
      </c>
      <c r="BS33" s="71">
        <f t="shared" si="13"/>
        <v>18123.960903129839</v>
      </c>
    </row>
    <row r="34" spans="1:83">
      <c r="A34" s="58">
        <f>Rawdata!Y36</f>
        <v>65.071527777778101</v>
      </c>
      <c r="B34" s="59">
        <v>20</v>
      </c>
      <c r="C34" s="60" t="s">
        <v>188</v>
      </c>
      <c r="D34" s="60" t="s">
        <v>188</v>
      </c>
      <c r="E34" s="60">
        <v>255.26</v>
      </c>
      <c r="F34" s="60">
        <v>4.41</v>
      </c>
      <c r="G34" s="60">
        <v>1.04</v>
      </c>
      <c r="H34" s="60">
        <v>351.45</v>
      </c>
      <c r="I34" s="60">
        <v>1.52</v>
      </c>
      <c r="J34" s="60">
        <v>6.6</v>
      </c>
      <c r="K34" s="77">
        <v>2.4900000000000002</v>
      </c>
      <c r="L34" s="77">
        <v>1.6</v>
      </c>
      <c r="M34" s="77">
        <v>0</v>
      </c>
      <c r="N34" s="64">
        <f t="shared" si="0"/>
        <v>0</v>
      </c>
      <c r="O34" s="64">
        <f t="shared" si="1"/>
        <v>0</v>
      </c>
      <c r="P34" s="64">
        <f t="shared" si="2"/>
        <v>5105.2</v>
      </c>
      <c r="Q34" s="64">
        <f t="shared" si="3"/>
        <v>88.2</v>
      </c>
      <c r="R34" s="64">
        <f t="shared" si="4"/>
        <v>20.8</v>
      </c>
      <c r="S34" s="64">
        <f t="shared" si="5"/>
        <v>7029</v>
      </c>
      <c r="T34" s="64">
        <f t="shared" si="6"/>
        <v>30.4</v>
      </c>
      <c r="U34" s="64">
        <f t="shared" si="7"/>
        <v>132</v>
      </c>
      <c r="V34" s="64">
        <f t="shared" si="8"/>
        <v>24.900000000000002</v>
      </c>
      <c r="W34" s="64">
        <f t="shared" si="9"/>
        <v>16</v>
      </c>
      <c r="X34" s="64">
        <f t="shared" si="10"/>
        <v>0</v>
      </c>
      <c r="Y34" s="61">
        <f>N34/Constants!$C$14</f>
        <v>0</v>
      </c>
      <c r="Z34" s="61">
        <f>O34/Constants!$C$15</f>
        <v>0</v>
      </c>
      <c r="AA34" s="61">
        <f>P34/Constants!$C$3</f>
        <v>85.015820149875111</v>
      </c>
      <c r="AB34" s="61">
        <f>Q34/Constants!$C$4</f>
        <v>1.1906047516198706</v>
      </c>
      <c r="AC34" s="61">
        <f>R34/Constants!$C$5</f>
        <v>0.23606855067529225</v>
      </c>
      <c r="AD34" s="61">
        <f>S34/Constants!$C$6</f>
        <v>79.775280898876403</v>
      </c>
      <c r="AE34" s="61">
        <f>T34/Constants!$C$8</f>
        <v>0.297659845295212</v>
      </c>
      <c r="AF34" s="61">
        <f>U34/Constants!$C$10</f>
        <v>1.1363636363636365</v>
      </c>
      <c r="AG34" s="61">
        <f>V34/Constants!$C$12</f>
        <v>0.23918274426177544</v>
      </c>
      <c r="AH34" s="61">
        <f>W34/Constants!$C$11</f>
        <v>0.18585201533279125</v>
      </c>
      <c r="AI34" s="61">
        <f>X34/Constants!$C$13</f>
        <v>0</v>
      </c>
      <c r="AJ34" s="73">
        <f>Y34*Constants!$D$14</f>
        <v>0</v>
      </c>
      <c r="AK34" s="73">
        <f>Z34*Constants!$D$15</f>
        <v>0</v>
      </c>
      <c r="AL34" s="73">
        <f>AA34*Constants!$D$3</f>
        <v>170.03164029975022</v>
      </c>
      <c r="AM34" s="73">
        <f>AB34*Constants!$D$4</f>
        <v>3.5718142548596115</v>
      </c>
      <c r="AN34" s="73">
        <f>AC34*Constants!$D$5</f>
        <v>0.94427420270116902</v>
      </c>
      <c r="AO34" s="73">
        <f>AD34*Constants!$D$6</f>
        <v>319.10112359550561</v>
      </c>
      <c r="AP34" s="73">
        <f>AE34*Constants!$D$8</f>
        <v>1.4882992264760599</v>
      </c>
      <c r="AQ34" s="73">
        <f>AF34*Constants!$D$10</f>
        <v>6.8181818181818183</v>
      </c>
      <c r="AR34" s="73">
        <f>AG34*Constants!$D$12</f>
        <v>0.95673097704710175</v>
      </c>
      <c r="AS34" s="73">
        <f>AH34*Constants!$D$11</f>
        <v>0.74340806133116499</v>
      </c>
      <c r="AT34" s="73">
        <f>AI34*Constants!$D$13</f>
        <v>0</v>
      </c>
      <c r="AU34" s="73">
        <f t="shared" si="11"/>
        <v>503.65547243585274</v>
      </c>
      <c r="AV34" s="74">
        <f>Y34*Constants!$E$14</f>
        <v>0</v>
      </c>
      <c r="AW34" s="74">
        <f>Z34*Constants!$E$15</f>
        <v>0</v>
      </c>
      <c r="AX34" s="74">
        <f>AA34*Constants!$E$3</f>
        <v>680.12656119900089</v>
      </c>
      <c r="AY34" s="74">
        <f>AB34*Constants!$E$4</f>
        <v>16.668466522678187</v>
      </c>
      <c r="AZ34" s="74">
        <f>AC34*Constants!$E$5</f>
        <v>4.7213710135058449</v>
      </c>
      <c r="BA34" s="74">
        <f>AD34*Constants!$E$6</f>
        <v>1595.5056179775281</v>
      </c>
      <c r="BB34" s="74">
        <f>AE34*Constants!$E$8</f>
        <v>7.7391559776755123</v>
      </c>
      <c r="BC34" s="74">
        <f>AF34*Constants!$E$10</f>
        <v>36.363636363636367</v>
      </c>
      <c r="BD34" s="74">
        <f>AG34*Constants!$E$12</f>
        <v>4.3052893967119577</v>
      </c>
      <c r="BE34" s="74">
        <f>AH34*Constants!$E$11</f>
        <v>3.3453362759902423</v>
      </c>
      <c r="BF34" s="74">
        <f>AI34*Constants!$E$13</f>
        <v>0</v>
      </c>
      <c r="BG34" s="74">
        <f t="shared" si="12"/>
        <v>2348.7754347267273</v>
      </c>
      <c r="BH34" s="76">
        <f>N34*Constants!$I$14</f>
        <v>0</v>
      </c>
      <c r="BI34" s="76">
        <f>O34*Constants!$I$15</f>
        <v>0</v>
      </c>
      <c r="BJ34" s="76">
        <f>P34*Constants!$I$3</f>
        <v>5445.5466666666662</v>
      </c>
      <c r="BK34" s="76">
        <f>Q34*Constants!$I$4</f>
        <v>133.4918918918919</v>
      </c>
      <c r="BL34" s="76">
        <f>R34*Constants!$I$5</f>
        <v>37.81818181818182</v>
      </c>
      <c r="BM34" s="76">
        <f>S34*Constants!$I$6</f>
        <v>12780</v>
      </c>
      <c r="BN34" s="76">
        <f>T34*Constants!$I$8</f>
        <v>61.992156862745091</v>
      </c>
      <c r="BO34" s="76">
        <f>U34*Constants!$I$10</f>
        <v>291.31034482758622</v>
      </c>
      <c r="BP34" s="72">
        <f>V34*Constants!$I$12</f>
        <v>34.476923076923079</v>
      </c>
      <c r="BQ34" s="72">
        <f>W34*Constants!$I$11</f>
        <v>28.279069767441861</v>
      </c>
      <c r="BR34" s="72">
        <f>X34*Constants!$I$13</f>
        <v>0</v>
      </c>
      <c r="BS34" s="71">
        <f t="shared" si="13"/>
        <v>18812.915234911437</v>
      </c>
    </row>
    <row r="35" spans="1:83">
      <c r="A35" s="58">
        <f>Rawdata!Y37</f>
        <v>67.984722222223354</v>
      </c>
      <c r="B35" s="59">
        <v>20</v>
      </c>
      <c r="C35" s="60" t="s">
        <v>188</v>
      </c>
      <c r="D35" s="60" t="s">
        <v>188</v>
      </c>
      <c r="E35" s="60">
        <v>262.45999999999998</v>
      </c>
      <c r="F35" s="60">
        <v>4.49</v>
      </c>
      <c r="G35" s="60">
        <v>1.1200000000000001</v>
      </c>
      <c r="H35" s="60">
        <v>353.04</v>
      </c>
      <c r="I35" s="60">
        <v>1.48</v>
      </c>
      <c r="J35" s="60">
        <v>7.02</v>
      </c>
      <c r="K35" s="77">
        <v>2.9</v>
      </c>
      <c r="L35" s="77">
        <v>1.17</v>
      </c>
      <c r="M35" s="77">
        <v>0</v>
      </c>
      <c r="N35" s="64">
        <f t="shared" si="0"/>
        <v>0</v>
      </c>
      <c r="O35" s="64">
        <f t="shared" si="1"/>
        <v>0</v>
      </c>
      <c r="P35" s="64">
        <f t="shared" si="2"/>
        <v>5249.2</v>
      </c>
      <c r="Q35" s="64">
        <f t="shared" si="3"/>
        <v>89.800000000000011</v>
      </c>
      <c r="R35" s="64">
        <f t="shared" si="4"/>
        <v>22.400000000000002</v>
      </c>
      <c r="S35" s="64">
        <f t="shared" si="5"/>
        <v>7060.8</v>
      </c>
      <c r="T35" s="64">
        <f t="shared" si="6"/>
        <v>29.6</v>
      </c>
      <c r="U35" s="64">
        <f t="shared" si="7"/>
        <v>140.39999999999998</v>
      </c>
      <c r="V35" s="64">
        <f t="shared" si="8"/>
        <v>29</v>
      </c>
      <c r="W35" s="64">
        <f t="shared" si="9"/>
        <v>11.7</v>
      </c>
      <c r="X35" s="64">
        <f t="shared" si="10"/>
        <v>0</v>
      </c>
      <c r="Y35" s="61">
        <f>N35/Constants!$C$14</f>
        <v>0</v>
      </c>
      <c r="Z35" s="61">
        <f>O35/Constants!$C$15</f>
        <v>0</v>
      </c>
      <c r="AA35" s="61">
        <f>P35/Constants!$C$3</f>
        <v>87.413821815154037</v>
      </c>
      <c r="AB35" s="61">
        <f>Q35/Constants!$C$4</f>
        <v>1.2122030237580996</v>
      </c>
      <c r="AC35" s="61">
        <f>R35/Constants!$C$5</f>
        <v>0.25422766995800705</v>
      </c>
      <c r="AD35" s="61">
        <f>S35/Constants!$C$6</f>
        <v>80.136193394620364</v>
      </c>
      <c r="AE35" s="61">
        <f>T35/Constants!$C$8</f>
        <v>0.2898266914716538</v>
      </c>
      <c r="AF35" s="61">
        <f>U35/Constants!$C$10</f>
        <v>1.2086776859504131</v>
      </c>
      <c r="AG35" s="61">
        <f>V35/Constants!$C$12</f>
        <v>0.27856624833700755</v>
      </c>
      <c r="AH35" s="61">
        <f>W35/Constants!$C$11</f>
        <v>0.1359042862121036</v>
      </c>
      <c r="AI35" s="61">
        <f>X35/Constants!$C$13</f>
        <v>0</v>
      </c>
      <c r="AJ35" s="73">
        <f>Y35*Constants!$D$14</f>
        <v>0</v>
      </c>
      <c r="AK35" s="73">
        <f>Z35*Constants!$D$15</f>
        <v>0</v>
      </c>
      <c r="AL35" s="73">
        <f>AA35*Constants!$D$3</f>
        <v>174.82764363030807</v>
      </c>
      <c r="AM35" s="73">
        <f>AB35*Constants!$D$4</f>
        <v>3.6366090712742989</v>
      </c>
      <c r="AN35" s="73">
        <f>AC35*Constants!$D$5</f>
        <v>1.0169106798320282</v>
      </c>
      <c r="AO35" s="73">
        <f>AD35*Constants!$D$6</f>
        <v>320.54477357848145</v>
      </c>
      <c r="AP35" s="73">
        <f>AE35*Constants!$D$8</f>
        <v>1.449133457358269</v>
      </c>
      <c r="AQ35" s="73">
        <f>AF35*Constants!$D$10</f>
        <v>7.2520661157024788</v>
      </c>
      <c r="AR35" s="73">
        <f>AG35*Constants!$D$12</f>
        <v>1.1142649933480302</v>
      </c>
      <c r="AS35" s="73">
        <f>AH35*Constants!$D$11</f>
        <v>0.54361714484841439</v>
      </c>
      <c r="AT35" s="73">
        <f>AI35*Constants!$D$13</f>
        <v>0</v>
      </c>
      <c r="AU35" s="73">
        <f t="shared" si="11"/>
        <v>510.38501867115303</v>
      </c>
      <c r="AV35" s="74">
        <f>Y35*Constants!$E$14</f>
        <v>0</v>
      </c>
      <c r="AW35" s="74">
        <f>Z35*Constants!$E$15</f>
        <v>0</v>
      </c>
      <c r="AX35" s="74">
        <f>AA35*Constants!$E$3</f>
        <v>699.3105745212323</v>
      </c>
      <c r="AY35" s="74">
        <f>AB35*Constants!$E$4</f>
        <v>16.970842332613394</v>
      </c>
      <c r="AZ35" s="74">
        <f>AC35*Constants!$E$5</f>
        <v>5.084553399160141</v>
      </c>
      <c r="BA35" s="74">
        <f>AD35*Constants!$E$6</f>
        <v>1602.7238678924073</v>
      </c>
      <c r="BB35" s="74">
        <f>AE35*Constants!$E$8</f>
        <v>7.5354939782629984</v>
      </c>
      <c r="BC35" s="74">
        <f>AF35*Constants!$E$10</f>
        <v>38.67768595041322</v>
      </c>
      <c r="BD35" s="74">
        <f>AG35*Constants!$E$12</f>
        <v>5.0141924700661358</v>
      </c>
      <c r="BE35" s="74">
        <f>AH35*Constants!$E$11</f>
        <v>2.4462771518178648</v>
      </c>
      <c r="BF35" s="74">
        <f>AI35*Constants!$E$13</f>
        <v>0</v>
      </c>
      <c r="BG35" s="74">
        <f t="shared" si="12"/>
        <v>2377.7634876959733</v>
      </c>
      <c r="BH35" s="76">
        <f>N35*Constants!$I$14</f>
        <v>0</v>
      </c>
      <c r="BI35" s="76">
        <f>O35*Constants!$I$15</f>
        <v>0</v>
      </c>
      <c r="BJ35" s="76">
        <f>P35*Constants!$I$3</f>
        <v>5599.1466666666665</v>
      </c>
      <c r="BK35" s="76">
        <f>Q35*Constants!$I$4</f>
        <v>135.91351351351355</v>
      </c>
      <c r="BL35" s="76">
        <f>R35*Constants!$I$5</f>
        <v>40.727272727272727</v>
      </c>
      <c r="BM35" s="76">
        <f>S35*Constants!$I$6</f>
        <v>12837.818181818182</v>
      </c>
      <c r="BN35" s="76">
        <f>T35*Constants!$I$8</f>
        <v>60.360784313725489</v>
      </c>
      <c r="BO35" s="76">
        <f>U35*Constants!$I$10</f>
        <v>309.84827586206893</v>
      </c>
      <c r="BP35" s="72">
        <f>V35*Constants!$I$12</f>
        <v>40.153846153846153</v>
      </c>
      <c r="BQ35" s="72">
        <f>W35*Constants!$I$11</f>
        <v>20.67906976744186</v>
      </c>
      <c r="BR35" s="72">
        <f>X35*Constants!$I$13</f>
        <v>0</v>
      </c>
      <c r="BS35" s="71">
        <f t="shared" si="13"/>
        <v>19044.647610822718</v>
      </c>
    </row>
    <row r="36" spans="1:83">
      <c r="A36" s="58">
        <f>Rawdata!Y38</f>
        <v>70.167361111110949</v>
      </c>
      <c r="B36" s="59">
        <v>20</v>
      </c>
      <c r="C36" s="60" t="s">
        <v>188</v>
      </c>
      <c r="D36" s="60" t="s">
        <v>188</v>
      </c>
      <c r="E36" s="60">
        <v>263.64999999999998</v>
      </c>
      <c r="F36" s="60">
        <v>5.37</v>
      </c>
      <c r="G36" s="60">
        <v>1.1499999999999999</v>
      </c>
      <c r="H36" s="60">
        <v>360.48</v>
      </c>
      <c r="I36" s="60">
        <v>1.69</v>
      </c>
      <c r="J36" s="60">
        <v>5.85</v>
      </c>
      <c r="K36" s="77">
        <v>2.14</v>
      </c>
      <c r="L36" s="77">
        <v>1.79</v>
      </c>
      <c r="M36" s="77">
        <v>0</v>
      </c>
      <c r="N36" s="64">
        <f t="shared" si="0"/>
        <v>0</v>
      </c>
      <c r="O36" s="64">
        <f t="shared" si="1"/>
        <v>0</v>
      </c>
      <c r="P36" s="64">
        <f t="shared" si="2"/>
        <v>5273</v>
      </c>
      <c r="Q36" s="64">
        <f t="shared" si="3"/>
        <v>107.4</v>
      </c>
      <c r="R36" s="64">
        <f t="shared" si="4"/>
        <v>23</v>
      </c>
      <c r="S36" s="64">
        <f t="shared" si="5"/>
        <v>7209.6</v>
      </c>
      <c r="T36" s="64">
        <f t="shared" si="6"/>
        <v>33.799999999999997</v>
      </c>
      <c r="U36" s="64">
        <f t="shared" si="7"/>
        <v>117</v>
      </c>
      <c r="V36" s="64">
        <f t="shared" si="8"/>
        <v>21.400000000000002</v>
      </c>
      <c r="W36" s="64">
        <f t="shared" si="9"/>
        <v>17.899999999999999</v>
      </c>
      <c r="X36" s="64">
        <f t="shared" si="10"/>
        <v>0</v>
      </c>
      <c r="Y36" s="61">
        <f>N36/Constants!$C$14</f>
        <v>0</v>
      </c>
      <c r="Z36" s="61">
        <f>O36/Constants!$C$15</f>
        <v>0</v>
      </c>
      <c r="AA36" s="61">
        <f>P36/Constants!$C$3</f>
        <v>87.810158201498751</v>
      </c>
      <c r="AB36" s="61">
        <f>Q36/Constants!$C$4</f>
        <v>1.4497840172786178</v>
      </c>
      <c r="AC36" s="61">
        <f>R36/Constants!$C$5</f>
        <v>0.26103733968902509</v>
      </c>
      <c r="AD36" s="61">
        <f>S36/Constants!$C$6</f>
        <v>81.82499148791284</v>
      </c>
      <c r="AE36" s="61">
        <f>T36/Constants!$C$8</f>
        <v>0.33095074904533439</v>
      </c>
      <c r="AF36" s="61">
        <f>U36/Constants!$C$10</f>
        <v>1.0072314049586777</v>
      </c>
      <c r="AG36" s="61">
        <f>V36/Constants!$C$12</f>
        <v>0.20556267980730902</v>
      </c>
      <c r="AH36" s="61">
        <f>W36/Constants!$C$11</f>
        <v>0.20792194215356019</v>
      </c>
      <c r="AI36" s="61">
        <f>X36/Constants!$C$13</f>
        <v>0</v>
      </c>
      <c r="AJ36" s="73">
        <f>Y36*Constants!$D$14</f>
        <v>0</v>
      </c>
      <c r="AK36" s="73">
        <f>Z36*Constants!$D$15</f>
        <v>0</v>
      </c>
      <c r="AL36" s="73">
        <f>AA36*Constants!$D$3</f>
        <v>175.6203164029975</v>
      </c>
      <c r="AM36" s="73">
        <f>AB36*Constants!$D$4</f>
        <v>4.3493520518358535</v>
      </c>
      <c r="AN36" s="73">
        <f>AC36*Constants!$D$5</f>
        <v>1.0441493587561004</v>
      </c>
      <c r="AO36" s="73">
        <f>AD36*Constants!$D$6</f>
        <v>327.29996595165136</v>
      </c>
      <c r="AP36" s="73">
        <f>AE36*Constants!$D$8</f>
        <v>1.6547537452266718</v>
      </c>
      <c r="AQ36" s="73">
        <f>AF36*Constants!$D$10</f>
        <v>6.0433884297520661</v>
      </c>
      <c r="AR36" s="73">
        <f>AG36*Constants!$D$12</f>
        <v>0.82225071922923609</v>
      </c>
      <c r="AS36" s="73">
        <f>AH36*Constants!$D$11</f>
        <v>0.83168776861424076</v>
      </c>
      <c r="AT36" s="73">
        <f>AI36*Constants!$D$13</f>
        <v>0</v>
      </c>
      <c r="AU36" s="73">
        <f t="shared" si="11"/>
        <v>517.66586442806306</v>
      </c>
      <c r="AV36" s="74">
        <f>Y36*Constants!$E$14</f>
        <v>0</v>
      </c>
      <c r="AW36" s="74">
        <f>Z36*Constants!$E$15</f>
        <v>0</v>
      </c>
      <c r="AX36" s="74">
        <f>AA36*Constants!$E$3</f>
        <v>702.48126561199001</v>
      </c>
      <c r="AY36" s="74">
        <f>AB36*Constants!$E$4</f>
        <v>20.296976241900651</v>
      </c>
      <c r="AZ36" s="74">
        <f>AC36*Constants!$E$5</f>
        <v>5.2207467937805019</v>
      </c>
      <c r="BA36" s="74">
        <f>AD36*Constants!$E$6</f>
        <v>1636.4998297582567</v>
      </c>
      <c r="BB36" s="74">
        <f>AE36*Constants!$E$8</f>
        <v>8.604719475178694</v>
      </c>
      <c r="BC36" s="74">
        <f>AF36*Constants!$E$10</f>
        <v>32.231404958677686</v>
      </c>
      <c r="BD36" s="74">
        <f>AG36*Constants!$E$12</f>
        <v>3.7001282365315626</v>
      </c>
      <c r="BE36" s="74">
        <f>AH36*Constants!$E$11</f>
        <v>3.7425949587640837</v>
      </c>
      <c r="BF36" s="74">
        <f>AI36*Constants!$E$13</f>
        <v>0</v>
      </c>
      <c r="BG36" s="74">
        <f t="shared" si="12"/>
        <v>2412.7776660350801</v>
      </c>
      <c r="BH36" s="76">
        <f>N36*Constants!$I$14</f>
        <v>0</v>
      </c>
      <c r="BI36" s="76">
        <f>O36*Constants!$I$15</f>
        <v>0</v>
      </c>
      <c r="BJ36" s="76">
        <f>P36*Constants!$I$3</f>
        <v>5624.5333333333328</v>
      </c>
      <c r="BK36" s="76">
        <f>Q36*Constants!$I$4</f>
        <v>162.55135135135137</v>
      </c>
      <c r="BL36" s="76">
        <f>R36*Constants!$I$5</f>
        <v>41.81818181818182</v>
      </c>
      <c r="BM36" s="76">
        <f>S36*Constants!$I$6</f>
        <v>13108.363636363636</v>
      </c>
      <c r="BN36" s="76">
        <f>T36*Constants!$I$8</f>
        <v>68.925490196078414</v>
      </c>
      <c r="BO36" s="76">
        <f>U36*Constants!$I$10</f>
        <v>258.20689655172413</v>
      </c>
      <c r="BP36" s="72">
        <f>V36*Constants!$I$12</f>
        <v>29.630769230769232</v>
      </c>
      <c r="BQ36" s="72">
        <f>W36*Constants!$I$11</f>
        <v>31.63720930232558</v>
      </c>
      <c r="BR36" s="72">
        <f>X36*Constants!$I$13</f>
        <v>0</v>
      </c>
      <c r="BS36" s="71">
        <f t="shared" si="13"/>
        <v>19325.666868147404</v>
      </c>
    </row>
    <row r="37" spans="1:83">
      <c r="A37" s="58">
        <f>Rawdata!Y39</f>
        <v>72.156944444446708</v>
      </c>
      <c r="B37" s="59">
        <v>20</v>
      </c>
      <c r="C37" s="60" t="s">
        <v>188</v>
      </c>
      <c r="D37" s="60" t="s">
        <v>188</v>
      </c>
      <c r="E37" s="60">
        <v>263.38</v>
      </c>
      <c r="F37" s="60">
        <v>4.22</v>
      </c>
      <c r="G37" s="60">
        <v>1.19</v>
      </c>
      <c r="H37" s="60">
        <v>362.64</v>
      </c>
      <c r="I37" s="60">
        <v>1.81</v>
      </c>
      <c r="J37" s="60">
        <v>7.6</v>
      </c>
      <c r="K37" s="77">
        <v>2.7</v>
      </c>
      <c r="L37" s="77">
        <v>1.4</v>
      </c>
      <c r="M37" s="77">
        <v>0</v>
      </c>
      <c r="N37" s="64">
        <f t="shared" si="0"/>
        <v>0</v>
      </c>
      <c r="O37" s="64">
        <f t="shared" si="1"/>
        <v>0</v>
      </c>
      <c r="P37" s="64">
        <f t="shared" si="2"/>
        <v>5267.6</v>
      </c>
      <c r="Q37" s="64">
        <f t="shared" si="3"/>
        <v>84.399999999999991</v>
      </c>
      <c r="R37" s="64">
        <f t="shared" si="4"/>
        <v>23.799999999999997</v>
      </c>
      <c r="S37" s="64">
        <f t="shared" si="5"/>
        <v>7252.7999999999993</v>
      </c>
      <c r="T37" s="64">
        <f t="shared" si="6"/>
        <v>36.200000000000003</v>
      </c>
      <c r="U37" s="64">
        <f t="shared" si="7"/>
        <v>152</v>
      </c>
      <c r="V37" s="64">
        <f t="shared" si="8"/>
        <v>27</v>
      </c>
      <c r="W37" s="64">
        <f t="shared" si="9"/>
        <v>14</v>
      </c>
      <c r="X37" s="64">
        <f t="shared" si="10"/>
        <v>0</v>
      </c>
      <c r="Y37" s="61">
        <f>N37/Constants!$C$14</f>
        <v>0</v>
      </c>
      <c r="Z37" s="61">
        <f>O37/Constants!$C$15</f>
        <v>0</v>
      </c>
      <c r="AA37" s="61">
        <f>P37/Constants!$C$3</f>
        <v>87.720233139050805</v>
      </c>
      <c r="AB37" s="61">
        <f>Q37/Constants!$C$4</f>
        <v>1.1393088552915767</v>
      </c>
      <c r="AC37" s="61">
        <f>R37/Constants!$C$5</f>
        <v>0.27011689933038247</v>
      </c>
      <c r="AD37" s="61">
        <f>S37/Constants!$C$6</f>
        <v>82.315287708546123</v>
      </c>
      <c r="AE37" s="61">
        <f>T37/Constants!$C$8</f>
        <v>0.35445021051600906</v>
      </c>
      <c r="AF37" s="61">
        <f>U37/Constants!$C$10</f>
        <v>1.3085399449035813</v>
      </c>
      <c r="AG37" s="61">
        <f>V37/Constants!$C$12</f>
        <v>0.2593547829344553</v>
      </c>
      <c r="AH37" s="61">
        <f>W37/Constants!$C$11</f>
        <v>0.16262051341619235</v>
      </c>
      <c r="AI37" s="61">
        <f>X37/Constants!$C$13</f>
        <v>0</v>
      </c>
      <c r="AJ37" s="73">
        <f>Y37*Constants!$D$14</f>
        <v>0</v>
      </c>
      <c r="AK37" s="73">
        <f>Z37*Constants!$D$15</f>
        <v>0</v>
      </c>
      <c r="AL37" s="73">
        <f>AA37*Constants!$D$3</f>
        <v>175.44046627810161</v>
      </c>
      <c r="AM37" s="73">
        <f>AB37*Constants!$D$4</f>
        <v>3.4179265658747298</v>
      </c>
      <c r="AN37" s="73">
        <f>AC37*Constants!$D$5</f>
        <v>1.0804675973215299</v>
      </c>
      <c r="AO37" s="73">
        <f>AD37*Constants!$D$6</f>
        <v>329.26115083418449</v>
      </c>
      <c r="AP37" s="73">
        <f>AE37*Constants!$D$8</f>
        <v>1.7722510525800452</v>
      </c>
      <c r="AQ37" s="73">
        <f>AF37*Constants!$D$10</f>
        <v>7.8512396694214877</v>
      </c>
      <c r="AR37" s="73">
        <f>AG37*Constants!$D$12</f>
        <v>1.0374191317378212</v>
      </c>
      <c r="AS37" s="73">
        <f>AH37*Constants!$D$11</f>
        <v>0.65048205366476941</v>
      </c>
      <c r="AT37" s="73">
        <f>AI37*Constants!$D$13</f>
        <v>0</v>
      </c>
      <c r="AU37" s="73">
        <f t="shared" si="11"/>
        <v>520.5114031828864</v>
      </c>
      <c r="AV37" s="74">
        <f>Y37*Constants!$E$14</f>
        <v>0</v>
      </c>
      <c r="AW37" s="74">
        <f>Z37*Constants!$E$15</f>
        <v>0</v>
      </c>
      <c r="AX37" s="74">
        <f>AA37*Constants!$E$3</f>
        <v>701.76186511240644</v>
      </c>
      <c r="AY37" s="74">
        <f>AB37*Constants!$E$4</f>
        <v>15.950323974082073</v>
      </c>
      <c r="AZ37" s="74">
        <f>AC37*Constants!$E$5</f>
        <v>5.4023379866076491</v>
      </c>
      <c r="BA37" s="74">
        <f>AD37*Constants!$E$6</f>
        <v>1646.3057541709225</v>
      </c>
      <c r="BB37" s="74">
        <f>AE37*Constants!$E$8</f>
        <v>9.2157054734162358</v>
      </c>
      <c r="BC37" s="74">
        <f>AF37*Constants!$E$10</f>
        <v>41.873278236914601</v>
      </c>
      <c r="BD37" s="74">
        <f>AG37*Constants!$E$12</f>
        <v>4.668386092820195</v>
      </c>
      <c r="BE37" s="74">
        <f>AH37*Constants!$E$11</f>
        <v>2.9271692414914625</v>
      </c>
      <c r="BF37" s="74">
        <f>AI37*Constants!$E$13</f>
        <v>0</v>
      </c>
      <c r="BG37" s="74">
        <f t="shared" si="12"/>
        <v>2428.1048202886609</v>
      </c>
      <c r="BH37" s="76">
        <f>N37*Constants!$I$14</f>
        <v>0</v>
      </c>
      <c r="BI37" s="76">
        <f>O37*Constants!$I$15</f>
        <v>0</v>
      </c>
      <c r="BJ37" s="76">
        <f>P37*Constants!$I$3</f>
        <v>5618.7733333333335</v>
      </c>
      <c r="BK37" s="76">
        <f>Q37*Constants!$I$4</f>
        <v>127.74054054054054</v>
      </c>
      <c r="BL37" s="76">
        <f>R37*Constants!$I$5</f>
        <v>43.272727272727266</v>
      </c>
      <c r="BM37" s="76">
        <f>S37*Constants!$I$6</f>
        <v>13186.909090909088</v>
      </c>
      <c r="BN37" s="76">
        <f>T37*Constants!$I$8</f>
        <v>73.819607843137263</v>
      </c>
      <c r="BO37" s="76">
        <f>U37*Constants!$I$10</f>
        <v>335.44827586206895</v>
      </c>
      <c r="BP37" s="72">
        <f>V37*Constants!$I$12</f>
        <v>37.384615384615387</v>
      </c>
      <c r="BQ37" s="72">
        <f>W37*Constants!$I$11</f>
        <v>24.744186046511629</v>
      </c>
      <c r="BR37" s="72">
        <f>X37*Constants!$I$13</f>
        <v>0</v>
      </c>
      <c r="BS37" s="71">
        <f t="shared" si="13"/>
        <v>19448.092377192024</v>
      </c>
    </row>
    <row r="38" spans="1:83">
      <c r="A38" s="58">
        <f>Rawdata!Y40</f>
        <v>75.146527777775191</v>
      </c>
      <c r="B38" s="59">
        <v>20</v>
      </c>
      <c r="C38" s="60" t="s">
        <v>188</v>
      </c>
      <c r="D38" s="60" t="s">
        <v>188</v>
      </c>
      <c r="E38" s="60">
        <v>271.04000000000002</v>
      </c>
      <c r="F38" s="60">
        <v>4.4800000000000004</v>
      </c>
      <c r="G38" s="60">
        <v>1.1200000000000001</v>
      </c>
      <c r="H38" s="60">
        <v>355.78</v>
      </c>
      <c r="I38" s="60">
        <v>1.93</v>
      </c>
      <c r="J38" s="60">
        <v>8.84</v>
      </c>
      <c r="K38" s="77">
        <v>2.1</v>
      </c>
      <c r="L38" s="77">
        <v>0.53</v>
      </c>
      <c r="M38" s="77">
        <v>0</v>
      </c>
      <c r="N38" s="64">
        <f t="shared" si="0"/>
        <v>0</v>
      </c>
      <c r="O38" s="64">
        <f t="shared" si="1"/>
        <v>0</v>
      </c>
      <c r="P38" s="64">
        <f t="shared" si="2"/>
        <v>5420.8</v>
      </c>
      <c r="Q38" s="64">
        <f t="shared" si="3"/>
        <v>89.600000000000009</v>
      </c>
      <c r="R38" s="64">
        <f t="shared" si="4"/>
        <v>22.400000000000002</v>
      </c>
      <c r="S38" s="64">
        <f t="shared" si="5"/>
        <v>7115.5999999999995</v>
      </c>
      <c r="T38" s="64">
        <f t="shared" si="6"/>
        <v>38.6</v>
      </c>
      <c r="U38" s="64">
        <f t="shared" si="7"/>
        <v>176.8</v>
      </c>
      <c r="V38" s="64">
        <f t="shared" si="8"/>
        <v>21</v>
      </c>
      <c r="W38" s="64">
        <f t="shared" si="9"/>
        <v>5.3000000000000007</v>
      </c>
      <c r="X38" s="64">
        <f t="shared" si="10"/>
        <v>0</v>
      </c>
      <c r="Y38" s="61">
        <f>N38/Constants!$C$14</f>
        <v>0</v>
      </c>
      <c r="Z38" s="61">
        <f>O38/Constants!$C$15</f>
        <v>0</v>
      </c>
      <c r="AA38" s="61">
        <f>P38/Constants!$C$3</f>
        <v>90.271440466278108</v>
      </c>
      <c r="AB38" s="61">
        <f>Q38/Constants!$C$4</f>
        <v>1.209503239740821</v>
      </c>
      <c r="AC38" s="61">
        <f>R38/Constants!$C$5</f>
        <v>0.25422766995800705</v>
      </c>
      <c r="AD38" s="61">
        <f>S38/Constants!$C$6</f>
        <v>80.758143230053335</v>
      </c>
      <c r="AE38" s="61">
        <f>T38/Constants!$C$8</f>
        <v>0.37794967198668367</v>
      </c>
      <c r="AF38" s="61">
        <f>U38/Constants!$C$10</f>
        <v>1.5220385674931132</v>
      </c>
      <c r="AG38" s="61">
        <f>V38/Constants!$C$12</f>
        <v>0.20172038672679854</v>
      </c>
      <c r="AH38" s="61">
        <f>W38/Constants!$C$11</f>
        <v>6.1563480078987112E-2</v>
      </c>
      <c r="AI38" s="61">
        <f>X38/Constants!$C$13</f>
        <v>0</v>
      </c>
      <c r="AJ38" s="73">
        <f>Y38*Constants!$D$14</f>
        <v>0</v>
      </c>
      <c r="AK38" s="73">
        <f>Z38*Constants!$D$15</f>
        <v>0</v>
      </c>
      <c r="AL38" s="73">
        <f>AA38*Constants!$D$3</f>
        <v>180.54288093255622</v>
      </c>
      <c r="AM38" s="73">
        <f>AB38*Constants!$D$4</f>
        <v>3.6285097192224631</v>
      </c>
      <c r="AN38" s="73">
        <f>AC38*Constants!$D$5</f>
        <v>1.0169106798320282</v>
      </c>
      <c r="AO38" s="73">
        <f>AD38*Constants!$D$6</f>
        <v>323.03257292021334</v>
      </c>
      <c r="AP38" s="73">
        <f>AE38*Constants!$D$8</f>
        <v>1.8897483599334184</v>
      </c>
      <c r="AQ38" s="73">
        <f>AF38*Constants!$D$10</f>
        <v>9.132231404958679</v>
      </c>
      <c r="AR38" s="73">
        <f>AG38*Constants!$D$12</f>
        <v>0.80688154690719416</v>
      </c>
      <c r="AS38" s="73">
        <f>AH38*Constants!$D$11</f>
        <v>0.24625392031594845</v>
      </c>
      <c r="AT38" s="73">
        <f>AI38*Constants!$D$13</f>
        <v>0</v>
      </c>
      <c r="AU38" s="73">
        <f t="shared" si="11"/>
        <v>520.29598948393925</v>
      </c>
      <c r="AV38" s="74">
        <f>Y38*Constants!$E$14</f>
        <v>0</v>
      </c>
      <c r="AW38" s="74">
        <f>Z38*Constants!$E$15</f>
        <v>0</v>
      </c>
      <c r="AX38" s="74">
        <f>AA38*Constants!$E$3</f>
        <v>722.17152373022486</v>
      </c>
      <c r="AY38" s="74">
        <f>AB38*Constants!$E$4</f>
        <v>16.933045356371494</v>
      </c>
      <c r="AZ38" s="74">
        <f>AC38*Constants!$E$5</f>
        <v>5.084553399160141</v>
      </c>
      <c r="BA38" s="74">
        <f>AD38*Constants!$E$6</f>
        <v>1615.1628646010668</v>
      </c>
      <c r="BB38" s="74">
        <f>AE38*Constants!$E$8</f>
        <v>9.8266914716537759</v>
      </c>
      <c r="BC38" s="74">
        <f>AF38*Constants!$E$10</f>
        <v>48.705234159779621</v>
      </c>
      <c r="BD38" s="74">
        <f>AG38*Constants!$E$12</f>
        <v>3.6309669610823736</v>
      </c>
      <c r="BE38" s="74">
        <f>AH38*Constants!$E$11</f>
        <v>1.1081426414217681</v>
      </c>
      <c r="BF38" s="74">
        <f>AI38*Constants!$E$13</f>
        <v>0</v>
      </c>
      <c r="BG38" s="74">
        <f t="shared" si="12"/>
        <v>2422.6230223207604</v>
      </c>
      <c r="BH38" s="76">
        <f>N38*Constants!$I$14</f>
        <v>0</v>
      </c>
      <c r="BI38" s="76">
        <f>O38*Constants!$I$15</f>
        <v>0</v>
      </c>
      <c r="BJ38" s="76">
        <f>P38*Constants!$I$3</f>
        <v>5782.1866666666665</v>
      </c>
      <c r="BK38" s="76">
        <f>Q38*Constants!$I$4</f>
        <v>135.61081081081082</v>
      </c>
      <c r="BL38" s="76">
        <f>R38*Constants!$I$5</f>
        <v>40.727272727272727</v>
      </c>
      <c r="BM38" s="76">
        <f>S38*Constants!$I$6</f>
        <v>12937.454545454544</v>
      </c>
      <c r="BN38" s="76">
        <f>T38*Constants!$I$8</f>
        <v>78.713725490196083</v>
      </c>
      <c r="BO38" s="76">
        <f>U38*Constants!$I$10</f>
        <v>390.17931034482763</v>
      </c>
      <c r="BP38" s="72">
        <f>V38*Constants!$I$12</f>
        <v>29.076923076923077</v>
      </c>
      <c r="BQ38" s="72">
        <f>W38*Constants!$I$11</f>
        <v>9.3674418604651173</v>
      </c>
      <c r="BR38" s="72">
        <f>X38*Constants!$I$13</f>
        <v>0</v>
      </c>
      <c r="BS38" s="71">
        <f t="shared" si="13"/>
        <v>19403.316696431706</v>
      </c>
    </row>
    <row r="39" spans="1:83">
      <c r="A39" s="147">
        <f>Rawdata!Y41</f>
        <v>77.093055555553292</v>
      </c>
      <c r="B39" s="59">
        <v>20</v>
      </c>
      <c r="C39" s="60" t="s">
        <v>188</v>
      </c>
      <c r="D39" s="60" t="s">
        <v>188</v>
      </c>
      <c r="E39" s="60">
        <v>240.27</v>
      </c>
      <c r="F39" s="60">
        <v>4.22</v>
      </c>
      <c r="G39" s="60" t="s">
        <v>188</v>
      </c>
      <c r="H39" s="60">
        <v>370.23</v>
      </c>
      <c r="I39" s="60">
        <v>2.19</v>
      </c>
      <c r="J39" s="60">
        <v>9.4499999999999993</v>
      </c>
      <c r="K39" s="77">
        <v>3.61</v>
      </c>
      <c r="L39" s="77">
        <v>0.34</v>
      </c>
      <c r="M39" s="77">
        <v>3.26</v>
      </c>
      <c r="N39" s="64">
        <f t="shared" si="0"/>
        <v>0</v>
      </c>
      <c r="O39" s="64">
        <f t="shared" si="1"/>
        <v>0</v>
      </c>
      <c r="P39" s="64">
        <f t="shared" si="2"/>
        <v>4805.4000000000005</v>
      </c>
      <c r="Q39" s="64">
        <f t="shared" si="3"/>
        <v>84.399999999999991</v>
      </c>
      <c r="R39" s="64">
        <f t="shared" si="4"/>
        <v>0</v>
      </c>
      <c r="S39" s="64">
        <f t="shared" si="5"/>
        <v>7404.6</v>
      </c>
      <c r="T39" s="64">
        <f t="shared" si="6"/>
        <v>43.8</v>
      </c>
      <c r="U39" s="64">
        <f t="shared" si="7"/>
        <v>189</v>
      </c>
      <c r="V39" s="64">
        <f t="shared" si="8"/>
        <v>36.1</v>
      </c>
      <c r="W39" s="64">
        <f t="shared" si="9"/>
        <v>3.4000000000000004</v>
      </c>
      <c r="X39" s="64">
        <f t="shared" si="10"/>
        <v>32.599999999999994</v>
      </c>
      <c r="Y39" s="61">
        <f>N39/Constants!$C$14</f>
        <v>0</v>
      </c>
      <c r="Z39" s="61">
        <f>O39/Constants!$C$15</f>
        <v>0</v>
      </c>
      <c r="AA39" s="61">
        <f>P39/Constants!$C$3</f>
        <v>80.023313905079107</v>
      </c>
      <c r="AB39" s="61">
        <f>Q39/Constants!$C$4</f>
        <v>1.1393088552915767</v>
      </c>
      <c r="AC39" s="61">
        <f>R39/Constants!$C$5</f>
        <v>0</v>
      </c>
      <c r="AD39" s="61">
        <f>S39/Constants!$C$6</f>
        <v>84.038134150493704</v>
      </c>
      <c r="AE39" s="61">
        <f>T39/Constants!$C$8</f>
        <v>0.42886517183981199</v>
      </c>
      <c r="AF39" s="61">
        <f>U39/Constants!$C$10</f>
        <v>1.6270661157024793</v>
      </c>
      <c r="AG39" s="61">
        <f>V39/Constants!$C$12</f>
        <v>0.34676695051606798</v>
      </c>
      <c r="AH39" s="61">
        <f>W39/Constants!$C$11</f>
        <v>3.9493553258218149E-2</v>
      </c>
      <c r="AI39" s="61">
        <f>X39/Constants!$C$13</f>
        <v>0.36190053285968021</v>
      </c>
      <c r="AJ39" s="73">
        <f>Y39*Constants!$D$14</f>
        <v>0</v>
      </c>
      <c r="AK39" s="73">
        <f>Z39*Constants!$D$15</f>
        <v>0</v>
      </c>
      <c r="AL39" s="73">
        <f>AA39*Constants!$D$3</f>
        <v>160.04662781015821</v>
      </c>
      <c r="AM39" s="73">
        <f>AB39*Constants!$D$4</f>
        <v>3.4179265658747298</v>
      </c>
      <c r="AN39" s="73">
        <f>AC39*Constants!$D$5</f>
        <v>0</v>
      </c>
      <c r="AO39" s="73">
        <f>AD39*Constants!$D$6</f>
        <v>336.15253660197482</v>
      </c>
      <c r="AP39" s="73">
        <f>AE39*Constants!$D$8</f>
        <v>2.1443258591990597</v>
      </c>
      <c r="AQ39" s="73">
        <f>AF39*Constants!$D$10</f>
        <v>9.7623966942148748</v>
      </c>
      <c r="AR39" s="73">
        <f>AG39*Constants!$D$12</f>
        <v>1.3870678020642719</v>
      </c>
      <c r="AS39" s="73">
        <f>AH39*Constants!$D$11</f>
        <v>0.1579742130328726</v>
      </c>
      <c r="AT39" s="73">
        <f>AI39*Constants!$D$13</f>
        <v>1.0857015985790406</v>
      </c>
      <c r="AU39" s="73">
        <f>SUM(AJ39:AT39)</f>
        <v>514.15455714509778</v>
      </c>
      <c r="AV39" s="74">
        <f>Y39*Constants!$E$14</f>
        <v>0</v>
      </c>
      <c r="AW39" s="74">
        <f>Z39*Constants!$E$15</f>
        <v>0</v>
      </c>
      <c r="AX39" s="74">
        <f>AA39*Constants!$E$3</f>
        <v>640.18651124063285</v>
      </c>
      <c r="AY39" s="74">
        <f>AB39*Constants!$E$4</f>
        <v>15.950323974082073</v>
      </c>
      <c r="AZ39" s="74">
        <f>AC39*Constants!$E$5</f>
        <v>0</v>
      </c>
      <c r="BA39" s="74">
        <f>AD39*Constants!$E$6</f>
        <v>1680.7626830098741</v>
      </c>
      <c r="BB39" s="74">
        <f>AE39*Constants!$E$8</f>
        <v>11.150494467835111</v>
      </c>
      <c r="BC39" s="74">
        <f>AF39*Constants!$E$10</f>
        <v>52.066115702479337</v>
      </c>
      <c r="BD39" s="74">
        <f>AG39*Constants!$E$12</f>
        <v>6.2418051092892242</v>
      </c>
      <c r="BE39" s="74">
        <f>AH39*Constants!$E$11</f>
        <v>0.71088395864792664</v>
      </c>
      <c r="BF39" s="74">
        <f>AI39*Constants!$E$13</f>
        <v>4.3428063943161623</v>
      </c>
      <c r="BG39" s="74">
        <f t="shared" si="12"/>
        <v>2411.4116238571564</v>
      </c>
      <c r="BH39" s="76">
        <f>N39*Constants!$I$14</f>
        <v>0</v>
      </c>
      <c r="BI39" s="76">
        <f>O39*Constants!$I$15</f>
        <v>0</v>
      </c>
      <c r="BJ39" s="76">
        <f>P39*Constants!$I$3</f>
        <v>5125.76</v>
      </c>
      <c r="BK39" s="76">
        <f>Q39*Constants!$I$4</f>
        <v>127.74054054054054</v>
      </c>
      <c r="BL39" s="76">
        <f>R39*Constants!$I$5</f>
        <v>0</v>
      </c>
      <c r="BM39" s="76">
        <f>S39*Constants!$I$6</f>
        <v>13462.909090909092</v>
      </c>
      <c r="BN39" s="76">
        <f>T39*Constants!$I$8</f>
        <v>89.317647058823511</v>
      </c>
      <c r="BO39" s="76">
        <f>U39*Constants!$I$10</f>
        <v>417.10344827586204</v>
      </c>
      <c r="BP39" s="72">
        <f>V39*Constants!$I$12</f>
        <v>49.984615384615388</v>
      </c>
      <c r="BQ39" s="72">
        <f>W39*Constants!$I$11</f>
        <v>6.0093023255813964</v>
      </c>
      <c r="BR39" s="72">
        <f>X39*Constants!$I$13</f>
        <v>34.773333333333326</v>
      </c>
      <c r="BS39" s="71">
        <f t="shared" si="13"/>
        <v>19313.597977827852</v>
      </c>
    </row>
    <row r="40" spans="1:83">
      <c r="A40" s="147">
        <f>Rawdata!Y42</f>
        <v>79.150000000001455</v>
      </c>
      <c r="B40" s="59">
        <v>20</v>
      </c>
      <c r="C40" s="60" t="s">
        <v>188</v>
      </c>
      <c r="D40" s="60" t="s">
        <v>188</v>
      </c>
      <c r="E40" s="60">
        <v>230.92</v>
      </c>
      <c r="F40" s="60">
        <v>4.6100000000000003</v>
      </c>
      <c r="G40" s="60">
        <v>0.81</v>
      </c>
      <c r="H40" s="60">
        <v>370.94</v>
      </c>
      <c r="I40" s="60">
        <v>2.5099999999999998</v>
      </c>
      <c r="J40" s="60">
        <v>10.65</v>
      </c>
      <c r="K40" s="77">
        <v>2.4900000000000002</v>
      </c>
      <c r="L40" s="77">
        <v>0.39</v>
      </c>
      <c r="M40" s="77">
        <v>4.1900000000000004</v>
      </c>
      <c r="N40" s="64">
        <f t="shared" si="0"/>
        <v>0</v>
      </c>
      <c r="O40" s="64">
        <f t="shared" si="1"/>
        <v>0</v>
      </c>
      <c r="P40" s="64">
        <f t="shared" si="2"/>
        <v>4618.3999999999996</v>
      </c>
      <c r="Q40" s="64">
        <f t="shared" si="3"/>
        <v>92.2</v>
      </c>
      <c r="R40" s="64">
        <f t="shared" si="4"/>
        <v>16.200000000000003</v>
      </c>
      <c r="S40" s="64">
        <f t="shared" si="5"/>
        <v>7418.8</v>
      </c>
      <c r="T40" s="64">
        <f t="shared" si="6"/>
        <v>50.199999999999996</v>
      </c>
      <c r="U40" s="64">
        <f t="shared" si="7"/>
        <v>213</v>
      </c>
      <c r="V40" s="64">
        <f t="shared" si="8"/>
        <v>24.900000000000002</v>
      </c>
      <c r="W40" s="64">
        <f t="shared" si="9"/>
        <v>3.9000000000000004</v>
      </c>
      <c r="X40" s="64">
        <f t="shared" si="10"/>
        <v>41.900000000000006</v>
      </c>
      <c r="Y40" s="61">
        <f>N40/Constants!$C$14</f>
        <v>0</v>
      </c>
      <c r="Z40" s="61">
        <f>O40/Constants!$C$15</f>
        <v>0</v>
      </c>
      <c r="AA40" s="61">
        <f>P40/Constants!$C$3</f>
        <v>76.909242298084934</v>
      </c>
      <c r="AB40" s="61">
        <f>Q40/Constants!$C$4</f>
        <v>1.2446004319654429</v>
      </c>
      <c r="AC40" s="61">
        <f>R40/Constants!$C$5</f>
        <v>0.18386108273748727</v>
      </c>
      <c r="AD40" s="61">
        <f>S40/Constants!$C$6</f>
        <v>84.199296334127794</v>
      </c>
      <c r="AE40" s="61">
        <f>T40/Constants!$C$8</f>
        <v>0.49153040242827767</v>
      </c>
      <c r="AF40" s="61">
        <f>U40/Constants!$C$10</f>
        <v>1.8336776859504134</v>
      </c>
      <c r="AG40" s="61">
        <f>V40/Constants!$C$12</f>
        <v>0.23918274426177544</v>
      </c>
      <c r="AH40" s="61">
        <f>W40/Constants!$C$11</f>
        <v>4.5301428737367873E-2</v>
      </c>
      <c r="AI40" s="61">
        <f>X40/Constants!$C$13</f>
        <v>0.46514209591474254</v>
      </c>
      <c r="AJ40" s="73">
        <f>Y40*Constants!$D$14</f>
        <v>0</v>
      </c>
      <c r="AK40" s="73">
        <f>Z40*Constants!$D$15</f>
        <v>0</v>
      </c>
      <c r="AL40" s="73">
        <f>AA40*Constants!$D$3</f>
        <v>153.81848459616987</v>
      </c>
      <c r="AM40" s="73">
        <f>AB40*Constants!$D$4</f>
        <v>3.7338012958963285</v>
      </c>
      <c r="AN40" s="73">
        <f>AC40*Constants!$D$5</f>
        <v>0.7354443309499491</v>
      </c>
      <c r="AO40" s="73">
        <f>AD40*Constants!$D$6</f>
        <v>336.79718533651118</v>
      </c>
      <c r="AP40" s="73">
        <f>AE40*Constants!$D$8</f>
        <v>2.4576520121413883</v>
      </c>
      <c r="AQ40" s="73">
        <f>AF40*Constants!$D$10</f>
        <v>11.00206611570248</v>
      </c>
      <c r="AR40" s="73">
        <f>AG40*Constants!$D$12</f>
        <v>0.95673097704710175</v>
      </c>
      <c r="AS40" s="73">
        <f>AH40*Constants!$D$11</f>
        <v>0.18120571494947149</v>
      </c>
      <c r="AT40" s="73">
        <f>AI40*Constants!$D$13</f>
        <v>1.3954262877442276</v>
      </c>
      <c r="AU40" s="73">
        <f t="shared" si="11"/>
        <v>511.07799666711202</v>
      </c>
      <c r="AV40" s="74">
        <f>Y40*Constants!$E$14</f>
        <v>0</v>
      </c>
      <c r="AW40" s="74">
        <f>Z40*Constants!$E$15</f>
        <v>0</v>
      </c>
      <c r="AX40" s="74">
        <f>AA40*Constants!$E$3</f>
        <v>615.27393838467947</v>
      </c>
      <c r="AY40" s="74">
        <f>AB40*Constants!$E$4</f>
        <v>17.4244060475162</v>
      </c>
      <c r="AZ40" s="74">
        <f>AC40*Constants!$E$5</f>
        <v>3.6772216547497454</v>
      </c>
      <c r="BA40" s="74">
        <f>AD40*Constants!$E$6</f>
        <v>1683.9859266825558</v>
      </c>
      <c r="BB40" s="74">
        <f>AE40*Constants!$E$8</f>
        <v>12.779790463135219</v>
      </c>
      <c r="BC40" s="74">
        <f>AF40*Constants!$E$10</f>
        <v>58.677685950413228</v>
      </c>
      <c r="BD40" s="74">
        <f>AG40*Constants!$E$12</f>
        <v>4.3052893967119577</v>
      </c>
      <c r="BE40" s="74">
        <f>AH40*Constants!$E$11</f>
        <v>0.8154257172726217</v>
      </c>
      <c r="BF40" s="74">
        <f>AI40*Constants!$E$13</f>
        <v>5.5817051509769104</v>
      </c>
      <c r="BG40" s="74">
        <f t="shared" si="12"/>
        <v>2402.5213894480116</v>
      </c>
      <c r="BH40" s="76">
        <f>N40*Constants!$I$14</f>
        <v>0</v>
      </c>
      <c r="BI40" s="76">
        <f>O40*Constants!$I$15</f>
        <v>0</v>
      </c>
      <c r="BJ40" s="76">
        <f>P40*Constants!$I$3</f>
        <v>4926.2933333333331</v>
      </c>
      <c r="BK40" s="76">
        <f>Q40*Constants!$I$4</f>
        <v>139.54594594594596</v>
      </c>
      <c r="BL40" s="76">
        <f>R40*Constants!$I$5</f>
        <v>29.45454545454546</v>
      </c>
      <c r="BM40" s="76">
        <f>S40*Constants!$I$6</f>
        <v>13488.727272727272</v>
      </c>
      <c r="BN40" s="76">
        <f>T40*Constants!$I$8</f>
        <v>102.36862745098037</v>
      </c>
      <c r="BO40" s="76">
        <f>U40*Constants!$I$10</f>
        <v>470.06896551724139</v>
      </c>
      <c r="BP40" s="72">
        <f>V40*Constants!$I$12</f>
        <v>34.476923076923079</v>
      </c>
      <c r="BQ40" s="72">
        <f>W40*Constants!$I$11</f>
        <v>6.8930232558139544</v>
      </c>
      <c r="BR40" s="72">
        <f>X40*Constants!$I$13</f>
        <v>44.693333333333342</v>
      </c>
      <c r="BS40" s="71">
        <f t="shared" si="13"/>
        <v>19242.521970095389</v>
      </c>
    </row>
    <row r="41" spans="1:83">
      <c r="A41" s="147">
        <f>Rawdata!Y43</f>
        <v>82.143055555556202</v>
      </c>
      <c r="B41" s="59">
        <v>20</v>
      </c>
      <c r="C41" s="60" t="s">
        <v>188</v>
      </c>
      <c r="D41" s="60" t="s">
        <v>188</v>
      </c>
      <c r="E41" s="60">
        <v>219.01</v>
      </c>
      <c r="F41" s="60">
        <v>4.26</v>
      </c>
      <c r="G41" s="60">
        <v>1.1399999999999999</v>
      </c>
      <c r="H41" s="60">
        <v>381.72</v>
      </c>
      <c r="I41" s="60">
        <v>2.4700000000000002</v>
      </c>
      <c r="J41" s="60">
        <v>7.26</v>
      </c>
      <c r="K41" s="77">
        <v>4.4800000000000004</v>
      </c>
      <c r="L41" s="77">
        <v>0.56999999999999995</v>
      </c>
      <c r="M41" s="77">
        <v>5.77</v>
      </c>
      <c r="N41" s="64">
        <f t="shared" si="0"/>
        <v>0</v>
      </c>
      <c r="O41" s="64">
        <f t="shared" si="1"/>
        <v>0</v>
      </c>
      <c r="P41" s="64">
        <f t="shared" si="2"/>
        <v>4380.2</v>
      </c>
      <c r="Q41" s="64">
        <f t="shared" si="3"/>
        <v>85.199999999999989</v>
      </c>
      <c r="R41" s="64">
        <f t="shared" si="4"/>
        <v>22.799999999999997</v>
      </c>
      <c r="S41" s="64">
        <f t="shared" si="5"/>
        <v>7634.4000000000005</v>
      </c>
      <c r="T41" s="64">
        <f t="shared" si="6"/>
        <v>49.400000000000006</v>
      </c>
      <c r="U41" s="64">
        <f t="shared" si="7"/>
        <v>145.19999999999999</v>
      </c>
      <c r="V41" s="64">
        <f t="shared" si="8"/>
        <v>44.800000000000004</v>
      </c>
      <c r="W41" s="64">
        <f t="shared" si="9"/>
        <v>5.6999999999999993</v>
      </c>
      <c r="X41" s="64">
        <f t="shared" si="10"/>
        <v>57.699999999999996</v>
      </c>
      <c r="Y41" s="61">
        <f>N41/Constants!$C$14</f>
        <v>0</v>
      </c>
      <c r="Z41" s="61">
        <f>O41/Constants!$C$15</f>
        <v>0</v>
      </c>
      <c r="AA41" s="61">
        <f>P41/Constants!$C$3</f>
        <v>72.942547876769353</v>
      </c>
      <c r="AB41" s="61">
        <f>Q41/Constants!$C$4</f>
        <v>1.1501079913606911</v>
      </c>
      <c r="AC41" s="61">
        <f>R41/Constants!$C$5</f>
        <v>0.25876744977868571</v>
      </c>
      <c r="AD41" s="61">
        <f>S41/Constants!$C$6</f>
        <v>86.64623765747362</v>
      </c>
      <c r="AE41" s="61">
        <f>T41/Constants!$C$8</f>
        <v>0.48369724860471958</v>
      </c>
      <c r="AF41" s="61">
        <f>U41/Constants!$C$10</f>
        <v>1.25</v>
      </c>
      <c r="AG41" s="61">
        <f>V41/Constants!$C$12</f>
        <v>0.4303368250171703</v>
      </c>
      <c r="AH41" s="61">
        <f>W41/Constants!$C$11</f>
        <v>6.6209780462306883E-2</v>
      </c>
      <c r="AI41" s="61">
        <f>X41/Constants!$C$13</f>
        <v>0.64054174067495551</v>
      </c>
      <c r="AJ41" s="73">
        <f>Y41*Constants!$D$14</f>
        <v>0</v>
      </c>
      <c r="AK41" s="73">
        <f>Z41*Constants!$D$15</f>
        <v>0</v>
      </c>
      <c r="AL41" s="73">
        <f>AA41*Constants!$D$3</f>
        <v>145.88509575353871</v>
      </c>
      <c r="AM41" s="73">
        <f>AB41*Constants!$D$4</f>
        <v>3.4503239740820733</v>
      </c>
      <c r="AN41" s="73">
        <f>AC41*Constants!$D$5</f>
        <v>1.0350697991147428</v>
      </c>
      <c r="AO41" s="73">
        <f>AD41*Constants!$D$6</f>
        <v>346.58495062989448</v>
      </c>
      <c r="AP41" s="73">
        <f>AE41*Constants!$D$8</f>
        <v>2.4184862430235978</v>
      </c>
      <c r="AQ41" s="73">
        <f>AF41*Constants!$D$10</f>
        <v>7.5</v>
      </c>
      <c r="AR41" s="73">
        <f>AG41*Constants!$D$12</f>
        <v>1.7213473000686812</v>
      </c>
      <c r="AS41" s="73">
        <f>AH41*Constants!$D$11</f>
        <v>0.26483912184922753</v>
      </c>
      <c r="AT41" s="73">
        <f>AI41*Constants!$D$13</f>
        <v>1.9216252220248666</v>
      </c>
      <c r="AU41" s="73">
        <f t="shared" si="11"/>
        <v>510.78173804359636</v>
      </c>
      <c r="AV41" s="74">
        <f>Y41*Constants!$E$14</f>
        <v>0</v>
      </c>
      <c r="AW41" s="74">
        <f>Z41*Constants!$E$15</f>
        <v>0</v>
      </c>
      <c r="AX41" s="74">
        <f>AA41*Constants!$E$3</f>
        <v>583.54038301415483</v>
      </c>
      <c r="AY41" s="74">
        <f>AB41*Constants!$E$4</f>
        <v>16.101511879049674</v>
      </c>
      <c r="AZ41" s="74">
        <f>AC41*Constants!$E$5</f>
        <v>5.1753489955737138</v>
      </c>
      <c r="BA41" s="74">
        <f>AD41*Constants!$E$6</f>
        <v>1732.9247531494725</v>
      </c>
      <c r="BB41" s="74">
        <f>AE41*Constants!$E$8</f>
        <v>12.576128463722709</v>
      </c>
      <c r="BC41" s="74">
        <f>AF41*Constants!$E$10</f>
        <v>40</v>
      </c>
      <c r="BD41" s="74">
        <f>AG41*Constants!$E$12</f>
        <v>7.7460628503090652</v>
      </c>
      <c r="BE41" s="74">
        <f>AH41*Constants!$E$11</f>
        <v>1.1917760483215238</v>
      </c>
      <c r="BF41" s="74">
        <f>AI41*Constants!$E$13</f>
        <v>7.6865008880994665</v>
      </c>
      <c r="BG41" s="74">
        <f t="shared" si="12"/>
        <v>2406.9424652887037</v>
      </c>
      <c r="BH41" s="76">
        <f>N41*Constants!$I$14</f>
        <v>0</v>
      </c>
      <c r="BI41" s="76">
        <f>O41*Constants!$I$15</f>
        <v>0</v>
      </c>
      <c r="BJ41" s="76">
        <f>P41*Constants!$I$3</f>
        <v>4672.2133333333331</v>
      </c>
      <c r="BK41" s="76">
        <f>Q41*Constants!$I$4</f>
        <v>128.95135135135135</v>
      </c>
      <c r="BL41" s="76">
        <f>R41*Constants!$I$5</f>
        <v>41.454545454545446</v>
      </c>
      <c r="BM41" s="76">
        <f>S41*Constants!$I$6</f>
        <v>13880.727272727274</v>
      </c>
      <c r="BN41" s="76">
        <f>T41*Constants!$I$8</f>
        <v>100.7372549019608</v>
      </c>
      <c r="BO41" s="76">
        <f>U41*Constants!$I$10</f>
        <v>320.44137931034481</v>
      </c>
      <c r="BP41" s="72">
        <f>V41*Constants!$I$12</f>
        <v>62.030769230769238</v>
      </c>
      <c r="BQ41" s="72">
        <f>W41*Constants!$I$11</f>
        <v>10.074418604651163</v>
      </c>
      <c r="BR41" s="72">
        <f>X41*Constants!$I$13</f>
        <v>61.54666666666666</v>
      </c>
      <c r="BS41" s="71">
        <f t="shared" si="13"/>
        <v>19278.176991580891</v>
      </c>
    </row>
    <row r="42" spans="1:83">
      <c r="A42" s="147">
        <f>Rawdata!Y44</f>
        <v>84.15763888888614</v>
      </c>
      <c r="B42" s="59">
        <v>20</v>
      </c>
      <c r="C42" s="60" t="s">
        <v>188</v>
      </c>
      <c r="D42" s="60" t="s">
        <v>188</v>
      </c>
      <c r="E42" s="60">
        <v>219.94</v>
      </c>
      <c r="F42" s="60">
        <v>4.8099999999999996</v>
      </c>
      <c r="G42" s="60">
        <v>1.33</v>
      </c>
      <c r="H42" s="60">
        <v>372.12</v>
      </c>
      <c r="I42" s="60">
        <v>2.74</v>
      </c>
      <c r="J42" s="60">
        <v>8.75</v>
      </c>
      <c r="K42" s="77">
        <v>0</v>
      </c>
      <c r="L42" s="77">
        <v>0.47</v>
      </c>
      <c r="M42" s="77">
        <v>3.94</v>
      </c>
      <c r="N42" s="64">
        <f t="shared" si="0"/>
        <v>0</v>
      </c>
      <c r="O42" s="64">
        <f t="shared" si="1"/>
        <v>0</v>
      </c>
      <c r="P42" s="64">
        <f t="shared" si="2"/>
        <v>4398.8</v>
      </c>
      <c r="Q42" s="64">
        <f t="shared" si="3"/>
        <v>96.199999999999989</v>
      </c>
      <c r="R42" s="64">
        <f t="shared" si="4"/>
        <v>26.6</v>
      </c>
      <c r="S42" s="64">
        <f t="shared" si="5"/>
        <v>7442.4</v>
      </c>
      <c r="T42" s="64">
        <f t="shared" si="6"/>
        <v>54.800000000000004</v>
      </c>
      <c r="U42" s="64">
        <f t="shared" si="7"/>
        <v>175</v>
      </c>
      <c r="V42" s="64">
        <f t="shared" si="8"/>
        <v>0</v>
      </c>
      <c r="W42" s="64">
        <f t="shared" si="9"/>
        <v>4.6999999999999993</v>
      </c>
      <c r="X42" s="64">
        <f t="shared" si="10"/>
        <v>39.4</v>
      </c>
      <c r="Y42" s="61">
        <f>N42/Constants!$C$14</f>
        <v>0</v>
      </c>
      <c r="Z42" s="61">
        <f>O42/Constants!$C$15</f>
        <v>0</v>
      </c>
      <c r="AA42" s="61">
        <f>P42/Constants!$C$3</f>
        <v>73.252289758534559</v>
      </c>
      <c r="AB42" s="61">
        <f>Q42/Constants!$C$4</f>
        <v>1.298596112311015</v>
      </c>
      <c r="AC42" s="61">
        <f>R42/Constants!$C$5</f>
        <v>0.30189535807513335</v>
      </c>
      <c r="AD42" s="61">
        <f>S42/Constants!$C$6</f>
        <v>84.467143343547832</v>
      </c>
      <c r="AE42" s="61">
        <f>T42/Constants!$C$8</f>
        <v>0.53657103691373742</v>
      </c>
      <c r="AF42" s="61">
        <f>U42/Constants!$C$10</f>
        <v>1.5065426997245179</v>
      </c>
      <c r="AG42" s="61">
        <f>V42/Constants!$C$12</f>
        <v>0</v>
      </c>
      <c r="AH42" s="61">
        <f>W42/Constants!$C$11</f>
        <v>5.4594029504007421E-2</v>
      </c>
      <c r="AI42" s="61">
        <f>X42/Constants!$C$13</f>
        <v>0.43738898756660743</v>
      </c>
      <c r="AJ42" s="73">
        <f>Y42*Constants!$D$14</f>
        <v>0</v>
      </c>
      <c r="AK42" s="73">
        <f>Z42*Constants!$D$15</f>
        <v>0</v>
      </c>
      <c r="AL42" s="73">
        <f>AA42*Constants!$D$3</f>
        <v>146.50457951706912</v>
      </c>
      <c r="AM42" s="73">
        <f>AB42*Constants!$D$4</f>
        <v>3.895788336933045</v>
      </c>
      <c r="AN42" s="73">
        <f>AC42*Constants!$D$5</f>
        <v>1.2075814323005334</v>
      </c>
      <c r="AO42" s="73">
        <f>AD42*Constants!$D$6</f>
        <v>337.86857337419133</v>
      </c>
      <c r="AP42" s="73">
        <f>AE42*Constants!$D$8</f>
        <v>2.682855184568687</v>
      </c>
      <c r="AQ42" s="73">
        <f>AF42*Constants!$D$10</f>
        <v>9.0392561983471076</v>
      </c>
      <c r="AR42" s="73">
        <f>AG42*Constants!$D$12</f>
        <v>0</v>
      </c>
      <c r="AS42" s="73">
        <f>AH42*Constants!$D$11</f>
        <v>0.21837611801602969</v>
      </c>
      <c r="AT42" s="73">
        <f>AI42*Constants!$D$13</f>
        <v>1.3121669626998222</v>
      </c>
      <c r="AU42" s="73">
        <f t="shared" si="11"/>
        <v>502.72917712412567</v>
      </c>
      <c r="AV42" s="74">
        <f>Y42*Constants!$E$14</f>
        <v>0</v>
      </c>
      <c r="AW42" s="74">
        <f>Z42*Constants!$E$15</f>
        <v>0</v>
      </c>
      <c r="AX42" s="74">
        <f>AA42*Constants!$E$3</f>
        <v>586.01831806827647</v>
      </c>
      <c r="AY42" s="74">
        <f>AB42*Constants!$E$4</f>
        <v>18.180345572354209</v>
      </c>
      <c r="AZ42" s="74">
        <f>AC42*Constants!$E$5</f>
        <v>6.0379071615026669</v>
      </c>
      <c r="BA42" s="74">
        <f>AD42*Constants!$E$6</f>
        <v>1689.3428668709566</v>
      </c>
      <c r="BB42" s="74">
        <f>AE42*Constants!$E$8</f>
        <v>13.950846959757174</v>
      </c>
      <c r="BC42" s="74">
        <f>AF42*Constants!$E$10</f>
        <v>48.209366391184574</v>
      </c>
      <c r="BD42" s="74">
        <f>AG42*Constants!$E$12</f>
        <v>0</v>
      </c>
      <c r="BE42" s="74">
        <f>AH42*Constants!$E$11</f>
        <v>0.98269253107213361</v>
      </c>
      <c r="BF42" s="74">
        <f>AI42*Constants!$E$13</f>
        <v>5.248667850799289</v>
      </c>
      <c r="BG42" s="74">
        <f t="shared" si="12"/>
        <v>2367.9710114059035</v>
      </c>
      <c r="BH42" s="76">
        <f>N42*Constants!$I$14</f>
        <v>0</v>
      </c>
      <c r="BI42" s="76">
        <f>O42*Constants!$I$15</f>
        <v>0</v>
      </c>
      <c r="BJ42" s="76">
        <f>P42*Constants!$I$3</f>
        <v>4692.0533333333333</v>
      </c>
      <c r="BK42" s="76">
        <f>Q42*Constants!$I$4</f>
        <v>145.6</v>
      </c>
      <c r="BL42" s="76">
        <f>R42*Constants!$I$5</f>
        <v>48.363636363636367</v>
      </c>
      <c r="BM42" s="76">
        <f>S42*Constants!$I$6</f>
        <v>13531.636363636362</v>
      </c>
      <c r="BN42" s="76">
        <f>T42*Constants!$I$8</f>
        <v>111.74901960784314</v>
      </c>
      <c r="BO42" s="76">
        <f>U42*Constants!$I$10</f>
        <v>386.20689655172413</v>
      </c>
      <c r="BP42" s="72">
        <f>V42*Constants!$I$12</f>
        <v>0</v>
      </c>
      <c r="BQ42" s="72">
        <f>W42*Constants!$I$11</f>
        <v>8.3069767441860449</v>
      </c>
      <c r="BR42" s="72">
        <f>X42*Constants!$I$13</f>
        <v>42.026666666666664</v>
      </c>
      <c r="BS42" s="71">
        <f t="shared" si="13"/>
        <v>18965.942892903753</v>
      </c>
    </row>
    <row r="43" spans="1:83">
      <c r="A43" s="147">
        <f>Rawdata!Y45</f>
        <v>86.27986111111386</v>
      </c>
      <c r="B43" s="59">
        <v>30</v>
      </c>
      <c r="C43" s="60" t="s">
        <v>188</v>
      </c>
      <c r="D43" s="60" t="s">
        <v>188</v>
      </c>
      <c r="E43" s="60">
        <v>144</v>
      </c>
      <c r="F43" s="60">
        <v>1.36</v>
      </c>
      <c r="G43" s="60">
        <v>0.9</v>
      </c>
      <c r="H43" s="60">
        <v>272.98</v>
      </c>
      <c r="I43" s="60">
        <v>2.0699999999999998</v>
      </c>
      <c r="J43" s="60">
        <v>8.23</v>
      </c>
      <c r="K43" s="77">
        <v>2.42</v>
      </c>
      <c r="L43" s="77">
        <v>0.55000000000000004</v>
      </c>
      <c r="M43" s="77">
        <v>4.83</v>
      </c>
      <c r="N43" s="64">
        <f t="shared" si="0"/>
        <v>0</v>
      </c>
      <c r="O43" s="64">
        <f t="shared" si="1"/>
        <v>0</v>
      </c>
      <c r="P43" s="64">
        <f t="shared" si="2"/>
        <v>4320</v>
      </c>
      <c r="Q43" s="64">
        <f t="shared" si="3"/>
        <v>40.800000000000004</v>
      </c>
      <c r="R43" s="64">
        <f t="shared" si="4"/>
        <v>27</v>
      </c>
      <c r="S43" s="64">
        <f t="shared" si="5"/>
        <v>8189.4000000000005</v>
      </c>
      <c r="T43" s="64">
        <f t="shared" si="6"/>
        <v>62.099999999999994</v>
      </c>
      <c r="U43" s="64">
        <f t="shared" si="7"/>
        <v>246.9</v>
      </c>
      <c r="V43" s="64">
        <f t="shared" si="8"/>
        <v>24.2</v>
      </c>
      <c r="W43" s="64">
        <f t="shared" si="9"/>
        <v>5.5</v>
      </c>
      <c r="X43" s="64">
        <f t="shared" si="10"/>
        <v>48.3</v>
      </c>
      <c r="Y43" s="61">
        <f>N43/Constants!$C$14</f>
        <v>0</v>
      </c>
      <c r="Z43" s="61">
        <f>O43/Constants!$C$15</f>
        <v>0</v>
      </c>
      <c r="AA43" s="61">
        <f>P43/Constants!$C$3</f>
        <v>71.940049958368036</v>
      </c>
      <c r="AB43" s="61">
        <f>Q43/Constants!$C$4</f>
        <v>0.55075593952483803</v>
      </c>
      <c r="AC43" s="61">
        <f>R43/Constants!$C$5</f>
        <v>0.30643513789581206</v>
      </c>
      <c r="AD43" s="61">
        <f>S43/Constants!$C$6</f>
        <v>92.945182158665318</v>
      </c>
      <c r="AE43" s="61">
        <f>T43/Constants!$C$8</f>
        <v>0.60804856555370601</v>
      </c>
      <c r="AF43" s="61">
        <f>U43/Constants!$C$10</f>
        <v>2.1255165289256199</v>
      </c>
      <c r="AG43" s="61">
        <f>V43/Constants!$C$12</f>
        <v>0.23245873137088213</v>
      </c>
      <c r="AH43" s="61">
        <f>W43/Constants!$C$11</f>
        <v>6.3886630270646991E-2</v>
      </c>
      <c r="AI43" s="61">
        <f>X43/Constants!$C$13</f>
        <v>0.53619005328596803</v>
      </c>
      <c r="AJ43" s="73">
        <f>Y43*Constants!$D$14</f>
        <v>0</v>
      </c>
      <c r="AK43" s="73">
        <f>Z43*Constants!$D$15</f>
        <v>0</v>
      </c>
      <c r="AL43" s="73">
        <f>AA43*Constants!$D$3</f>
        <v>143.88009991673607</v>
      </c>
      <c r="AM43" s="73">
        <f>AB43*Constants!$D$4</f>
        <v>1.6522678185745141</v>
      </c>
      <c r="AN43" s="73">
        <f>AC43*Constants!$D$5</f>
        <v>1.2257405515832482</v>
      </c>
      <c r="AO43" s="73">
        <f>AD43*Constants!$D$6</f>
        <v>371.78072863466127</v>
      </c>
      <c r="AP43" s="73">
        <f>AE43*Constants!$D$8</f>
        <v>3.0402428277685303</v>
      </c>
      <c r="AQ43" s="73">
        <f>AF43*Constants!$D$10</f>
        <v>12.75309917355372</v>
      </c>
      <c r="AR43" s="73">
        <f>AG43*Constants!$D$12</f>
        <v>0.92983492548352853</v>
      </c>
      <c r="AS43" s="73">
        <f>AH43*Constants!$D$11</f>
        <v>0.25554652108258796</v>
      </c>
      <c r="AT43" s="73">
        <f>AI43*Constants!$D$13</f>
        <v>1.6085701598579041</v>
      </c>
      <c r="AU43" s="73">
        <f t="shared" si="11"/>
        <v>537.12613052930135</v>
      </c>
      <c r="AV43" s="74">
        <f>Y43*Constants!$E$14</f>
        <v>0</v>
      </c>
      <c r="AW43" s="74">
        <f>Z43*Constants!$E$15</f>
        <v>0</v>
      </c>
      <c r="AX43" s="74">
        <f>AA43*Constants!$E$3</f>
        <v>575.52039966694429</v>
      </c>
      <c r="AY43" s="74">
        <f>AB43*Constants!$E$4</f>
        <v>7.7105831533477325</v>
      </c>
      <c r="AZ43" s="74">
        <f>AC43*Constants!$E$5</f>
        <v>6.1287027579162414</v>
      </c>
      <c r="BA43" s="74">
        <f>AD43*Constants!$E$6</f>
        <v>1858.9036431733064</v>
      </c>
      <c r="BB43" s="74">
        <f>AE43*Constants!$E$8</f>
        <v>15.809262704396357</v>
      </c>
      <c r="BC43" s="74">
        <f>AF43*Constants!$E$10</f>
        <v>68.016528925619838</v>
      </c>
      <c r="BD43" s="74">
        <f>AG43*Constants!$E$12</f>
        <v>4.1842571646758788</v>
      </c>
      <c r="BE43" s="74">
        <f>AH43*Constants!$E$11</f>
        <v>1.1499593448716459</v>
      </c>
      <c r="BF43" s="74">
        <f>AI43*Constants!$E$13</f>
        <v>6.4342806394316163</v>
      </c>
      <c r="BG43" s="74">
        <f t="shared" si="12"/>
        <v>2543.8576175305093</v>
      </c>
      <c r="BH43" s="76">
        <f>N43*Constants!$I$14</f>
        <v>0</v>
      </c>
      <c r="BI43" s="76">
        <f>O43*Constants!$I$15</f>
        <v>0</v>
      </c>
      <c r="BJ43" s="76">
        <f>P43*Constants!$I$3</f>
        <v>4608</v>
      </c>
      <c r="BK43" s="76">
        <f>Q43*Constants!$I$4</f>
        <v>61.75135135135136</v>
      </c>
      <c r="BL43" s="76">
        <f>R43*Constants!$I$5</f>
        <v>49.090909090909086</v>
      </c>
      <c r="BM43" s="76">
        <f>S43*Constants!$I$6</f>
        <v>14889.818181818182</v>
      </c>
      <c r="BN43" s="76">
        <f>T43*Constants!$I$8</f>
        <v>126.63529411764704</v>
      </c>
      <c r="BO43" s="76">
        <f>U43*Constants!$I$10</f>
        <v>544.88275862068963</v>
      </c>
      <c r="BP43" s="72">
        <f>V43*Constants!$I$12</f>
        <v>33.507692307692302</v>
      </c>
      <c r="BQ43" s="72">
        <f>W43*Constants!$I$11</f>
        <v>9.720930232558139</v>
      </c>
      <c r="BR43" s="72">
        <f>X43*Constants!$I$13</f>
        <v>51.519999999999996</v>
      </c>
      <c r="BS43" s="71">
        <f t="shared" si="13"/>
        <v>20374.927117539031</v>
      </c>
    </row>
    <row r="44" spans="1:83">
      <c r="A44" s="147">
        <f>Rawdata!Y46</f>
        <v>89.148611111115315</v>
      </c>
      <c r="B44" s="59">
        <v>20</v>
      </c>
      <c r="C44" s="60">
        <v>0.82</v>
      </c>
      <c r="D44" s="60" t="s">
        <v>188</v>
      </c>
      <c r="E44" s="60">
        <v>201.53</v>
      </c>
      <c r="F44" s="60">
        <v>4.58</v>
      </c>
      <c r="G44" s="60">
        <v>1.43</v>
      </c>
      <c r="H44" s="60">
        <v>387.8</v>
      </c>
      <c r="I44" s="60">
        <v>2.85</v>
      </c>
      <c r="J44" s="60">
        <v>16.420000000000002</v>
      </c>
      <c r="K44" s="77">
        <v>3.22</v>
      </c>
      <c r="L44" s="77">
        <v>0.7</v>
      </c>
      <c r="M44" s="77">
        <v>5.27</v>
      </c>
      <c r="N44" s="64">
        <f t="shared" si="0"/>
        <v>16.399999999999999</v>
      </c>
      <c r="O44" s="64">
        <f t="shared" si="1"/>
        <v>0</v>
      </c>
      <c r="P44" s="64">
        <f t="shared" si="2"/>
        <v>4030.6</v>
      </c>
      <c r="Q44" s="64">
        <f t="shared" si="3"/>
        <v>91.6</v>
      </c>
      <c r="R44" s="64">
        <f t="shared" si="4"/>
        <v>28.599999999999998</v>
      </c>
      <c r="S44" s="64">
        <f t="shared" si="5"/>
        <v>7756</v>
      </c>
      <c r="T44" s="64">
        <f t="shared" si="6"/>
        <v>57</v>
      </c>
      <c r="U44" s="64">
        <f t="shared" si="7"/>
        <v>328.40000000000003</v>
      </c>
      <c r="V44" s="64">
        <f t="shared" si="8"/>
        <v>32.200000000000003</v>
      </c>
      <c r="W44" s="64">
        <f t="shared" si="9"/>
        <v>7</v>
      </c>
      <c r="X44" s="64">
        <f t="shared" si="10"/>
        <v>52.699999999999996</v>
      </c>
      <c r="Y44" s="61">
        <f>N44/Constants!$C$14</f>
        <v>0.35599548493531302</v>
      </c>
      <c r="Z44" s="61">
        <f>O44/Constants!$C$15</f>
        <v>0</v>
      </c>
      <c r="AA44" s="61">
        <f>P44/Constants!$C$3</f>
        <v>67.120732722731063</v>
      </c>
      <c r="AB44" s="61">
        <f>Q44/Constants!$C$4</f>
        <v>1.2365010799136069</v>
      </c>
      <c r="AC44" s="61">
        <f>R44/Constants!$C$5</f>
        <v>0.3245942571785268</v>
      </c>
      <c r="AD44" s="61">
        <f>S44/Constants!$C$6</f>
        <v>88.026330722959941</v>
      </c>
      <c r="AE44" s="61">
        <f>T44/Constants!$C$8</f>
        <v>0.55811220992852251</v>
      </c>
      <c r="AF44" s="61">
        <f>U44/Constants!$C$10</f>
        <v>2.8271349862258957</v>
      </c>
      <c r="AG44" s="61">
        <f>V44/Constants!$C$12</f>
        <v>0.30930459298109114</v>
      </c>
      <c r="AH44" s="61">
        <f>W44/Constants!$C$11</f>
        <v>8.1310256708096176E-2</v>
      </c>
      <c r="AI44" s="61">
        <f>X44/Constants!$C$13</f>
        <v>0.58503552397868552</v>
      </c>
      <c r="AJ44" s="73">
        <f>Y44*Constants!$D$14</f>
        <v>0.71199096987062604</v>
      </c>
      <c r="AK44" s="73">
        <f>Z44*Constants!$D$15</f>
        <v>0</v>
      </c>
      <c r="AL44" s="73">
        <f>AA44*Constants!$D$3</f>
        <v>134.24146544546213</v>
      </c>
      <c r="AM44" s="73">
        <f>AB44*Constants!$D$4</f>
        <v>3.7095032397408207</v>
      </c>
      <c r="AN44" s="73">
        <f>AC44*Constants!$D$5</f>
        <v>1.2983770287141072</v>
      </c>
      <c r="AO44" s="73">
        <f>AD44*Constants!$D$6</f>
        <v>352.10532289183976</v>
      </c>
      <c r="AP44" s="73">
        <f>AE44*Constants!$D$8</f>
        <v>2.7905610496426125</v>
      </c>
      <c r="AQ44" s="73">
        <f>AF44*Constants!$D$10</f>
        <v>16.962809917355372</v>
      </c>
      <c r="AR44" s="73">
        <f>AG44*Constants!$D$12</f>
        <v>1.2372183719243646</v>
      </c>
      <c r="AS44" s="73">
        <f>AH44*Constants!$D$11</f>
        <v>0.32524102683238471</v>
      </c>
      <c r="AT44" s="73">
        <f>AI44*Constants!$D$13</f>
        <v>1.7551065719360566</v>
      </c>
      <c r="AU44" s="73">
        <f t="shared" si="11"/>
        <v>515.13759651331816</v>
      </c>
      <c r="AV44" s="74">
        <f>Y44*Constants!$E$14</f>
        <v>4.271945819223756</v>
      </c>
      <c r="AW44" s="74">
        <f>Z44*Constants!$E$15</f>
        <v>0</v>
      </c>
      <c r="AX44" s="74">
        <f>AA44*Constants!$E$3</f>
        <v>536.9658617818485</v>
      </c>
      <c r="AY44" s="74">
        <f>AB44*Constants!$E$4</f>
        <v>17.311015118790497</v>
      </c>
      <c r="AZ44" s="74">
        <f>AC44*Constants!$E$5</f>
        <v>6.4918851435705358</v>
      </c>
      <c r="BA44" s="74">
        <f>AD44*Constants!$E$6</f>
        <v>1760.5266144591988</v>
      </c>
      <c r="BB44" s="74">
        <f>AE44*Constants!$E$8</f>
        <v>14.510917458141584</v>
      </c>
      <c r="BC44" s="74">
        <f>AF44*Constants!$E$10</f>
        <v>90.468319559228661</v>
      </c>
      <c r="BD44" s="74">
        <f>AG44*Constants!$E$12</f>
        <v>5.5674826736596401</v>
      </c>
      <c r="BE44" s="74">
        <f>AH44*Constants!$E$11</f>
        <v>1.4635846207457313</v>
      </c>
      <c r="BF44" s="74">
        <f>AI44*Constants!$E$13</f>
        <v>7.0204262877442263</v>
      </c>
      <c r="BG44" s="74">
        <f t="shared" si="12"/>
        <v>2444.598052922152</v>
      </c>
      <c r="BH44" s="76">
        <f>N44*Constants!$I$14</f>
        <v>34.111999999999995</v>
      </c>
      <c r="BI44" s="76">
        <f>O44*Constants!$I$15</f>
        <v>0</v>
      </c>
      <c r="BJ44" s="76">
        <f>P44*Constants!$I$3</f>
        <v>4299.3066666666664</v>
      </c>
      <c r="BK44" s="76">
        <f>Q44*Constants!$I$4</f>
        <v>138.63783783783785</v>
      </c>
      <c r="BL44" s="76">
        <f>R44*Constants!$I$5</f>
        <v>51.999999999999993</v>
      </c>
      <c r="BM44" s="76">
        <f>S44*Constants!$I$6</f>
        <v>14101.818181818182</v>
      </c>
      <c r="BN44" s="76">
        <f>T44*Constants!$I$8</f>
        <v>116.23529411764704</v>
      </c>
      <c r="BO44" s="76">
        <f>U44*Constants!$I$10</f>
        <v>724.74482758620695</v>
      </c>
      <c r="BP44" s="72">
        <f>V44*Constants!$I$12</f>
        <v>44.58461538461539</v>
      </c>
      <c r="BQ44" s="72">
        <f>W44*Constants!$I$11</f>
        <v>12.372093023255815</v>
      </c>
      <c r="BR44" s="72">
        <f>X44*Constants!$I$13</f>
        <v>56.213333333333331</v>
      </c>
      <c r="BS44" s="71">
        <f t="shared" si="13"/>
        <v>19580.024849767742</v>
      </c>
    </row>
    <row r="45" spans="1:83">
      <c r="A45" s="147">
        <f>Rawdata!Y47</f>
        <v>91.1875</v>
      </c>
      <c r="B45" s="59">
        <v>20</v>
      </c>
      <c r="C45" s="60" t="s">
        <v>188</v>
      </c>
      <c r="D45" s="60" t="s">
        <v>188</v>
      </c>
      <c r="E45" s="60">
        <v>198.04</v>
      </c>
      <c r="F45" s="60">
        <v>4.49</v>
      </c>
      <c r="G45" s="60">
        <v>1.33</v>
      </c>
      <c r="H45" s="60">
        <v>397.92</v>
      </c>
      <c r="I45" s="60">
        <v>2.78</v>
      </c>
      <c r="J45" s="60">
        <v>18.600000000000001</v>
      </c>
      <c r="K45" s="77">
        <v>2.97</v>
      </c>
      <c r="L45" s="77">
        <v>0.66</v>
      </c>
      <c r="M45" s="77">
        <v>5.12</v>
      </c>
      <c r="N45" s="64">
        <f t="shared" si="0"/>
        <v>0</v>
      </c>
      <c r="O45" s="64">
        <f t="shared" si="1"/>
        <v>0</v>
      </c>
      <c r="P45" s="64">
        <f t="shared" si="2"/>
        <v>3960.7999999999997</v>
      </c>
      <c r="Q45" s="64">
        <f t="shared" si="3"/>
        <v>89.800000000000011</v>
      </c>
      <c r="R45" s="64">
        <f t="shared" si="4"/>
        <v>26.6</v>
      </c>
      <c r="S45" s="64">
        <f t="shared" si="5"/>
        <v>7958.4000000000005</v>
      </c>
      <c r="T45" s="64">
        <f t="shared" si="6"/>
        <v>55.599999999999994</v>
      </c>
      <c r="U45" s="64">
        <f t="shared" si="7"/>
        <v>372</v>
      </c>
      <c r="V45" s="64">
        <f t="shared" si="8"/>
        <v>29.700000000000003</v>
      </c>
      <c r="W45" s="64">
        <f t="shared" si="9"/>
        <v>6.6000000000000005</v>
      </c>
      <c r="X45" s="64">
        <f t="shared" si="10"/>
        <v>51.2</v>
      </c>
      <c r="Y45" s="61">
        <f>N45/Constants!$C$14</f>
        <v>0</v>
      </c>
      <c r="Z45" s="61">
        <f>O45/Constants!$C$15</f>
        <v>0</v>
      </c>
      <c r="AA45" s="61">
        <f>P45/Constants!$C$3</f>
        <v>65.958368026644465</v>
      </c>
      <c r="AB45" s="61">
        <f>Q45/Constants!$C$4</f>
        <v>1.2122030237580996</v>
      </c>
      <c r="AC45" s="61">
        <f>R45/Constants!$C$5</f>
        <v>0.30189535807513335</v>
      </c>
      <c r="AD45" s="61">
        <f>S45/Constants!$C$6</f>
        <v>90.323459312223363</v>
      </c>
      <c r="AE45" s="61">
        <f>T45/Constants!$C$8</f>
        <v>0.54440419073729562</v>
      </c>
      <c r="AF45" s="61">
        <f>U45/Constants!$C$10</f>
        <v>3.2024793388429753</v>
      </c>
      <c r="AG45" s="61">
        <f>V45/Constants!$C$12</f>
        <v>0.28529026122790085</v>
      </c>
      <c r="AH45" s="61">
        <f>W45/Constants!$C$11</f>
        <v>7.6663956324776406E-2</v>
      </c>
      <c r="AI45" s="61">
        <f>X45/Constants!$C$13</f>
        <v>0.56838365896980469</v>
      </c>
      <c r="AJ45" s="73">
        <f>Y45*Constants!$D$14</f>
        <v>0</v>
      </c>
      <c r="AK45" s="73">
        <f>Z45*Constants!$D$15</f>
        <v>0</v>
      </c>
      <c r="AL45" s="73">
        <f>AA45*Constants!$D$3</f>
        <v>131.91673605328893</v>
      </c>
      <c r="AM45" s="73">
        <f>AB45*Constants!$D$4</f>
        <v>3.6366090712742989</v>
      </c>
      <c r="AN45" s="73">
        <f>AC45*Constants!$D$5</f>
        <v>1.2075814323005334</v>
      </c>
      <c r="AO45" s="73">
        <f>AD45*Constants!$D$6</f>
        <v>361.29383724889345</v>
      </c>
      <c r="AP45" s="73">
        <f>AE45*Constants!$D$8</f>
        <v>2.7220209536864779</v>
      </c>
      <c r="AQ45" s="73">
        <f>AF45*Constants!$D$10</f>
        <v>19.214876033057852</v>
      </c>
      <c r="AR45" s="73">
        <f>AG45*Constants!$D$12</f>
        <v>1.1411610449116034</v>
      </c>
      <c r="AS45" s="73">
        <f>AH45*Constants!$D$11</f>
        <v>0.30665582529910562</v>
      </c>
      <c r="AT45" s="73">
        <f>AI45*Constants!$D$13</f>
        <v>1.705150976909414</v>
      </c>
      <c r="AU45" s="73">
        <f t="shared" si="11"/>
        <v>523.14462863962171</v>
      </c>
      <c r="AV45" s="74">
        <f>Y45*Constants!$E$14</f>
        <v>0</v>
      </c>
      <c r="AW45" s="74">
        <f>Z45*Constants!$E$15</f>
        <v>0</v>
      </c>
      <c r="AX45" s="74">
        <f>AA45*Constants!$E$3</f>
        <v>527.66694421315572</v>
      </c>
      <c r="AY45" s="74">
        <f>AB45*Constants!$E$4</f>
        <v>16.970842332613394</v>
      </c>
      <c r="AZ45" s="74">
        <f>AC45*Constants!$E$5</f>
        <v>6.0379071615026669</v>
      </c>
      <c r="BA45" s="74">
        <f>AD45*Constants!$E$6</f>
        <v>1806.4691862444672</v>
      </c>
      <c r="BB45" s="74">
        <f>AE45*Constants!$E$8</f>
        <v>14.154508959169686</v>
      </c>
      <c r="BC45" s="74">
        <f>AF45*Constants!$E$10</f>
        <v>102.47933884297521</v>
      </c>
      <c r="BD45" s="74">
        <f>AG45*Constants!$E$12</f>
        <v>5.1352247021022155</v>
      </c>
      <c r="BE45" s="74">
        <f>AH45*Constants!$E$11</f>
        <v>1.3799512138459753</v>
      </c>
      <c r="BF45" s="74">
        <f>AI45*Constants!$E$13</f>
        <v>6.8206039076376559</v>
      </c>
      <c r="BG45" s="74">
        <f t="shared" si="12"/>
        <v>2487.1145075774698</v>
      </c>
      <c r="BH45" s="76">
        <f>N45*Constants!$I$14</f>
        <v>0</v>
      </c>
      <c r="BI45" s="76">
        <f>O45*Constants!$I$15</f>
        <v>0</v>
      </c>
      <c r="BJ45" s="76">
        <f>P45*Constants!$I$3</f>
        <v>4224.8533333333326</v>
      </c>
      <c r="BK45" s="76">
        <f>Q45*Constants!$I$4</f>
        <v>135.91351351351355</v>
      </c>
      <c r="BL45" s="76">
        <f>R45*Constants!$I$5</f>
        <v>48.363636363636367</v>
      </c>
      <c r="BM45" s="76">
        <f>S45*Constants!$I$6</f>
        <v>14469.818181818182</v>
      </c>
      <c r="BN45" s="76">
        <f>T45*Constants!$I$8</f>
        <v>113.38039215686273</v>
      </c>
      <c r="BO45" s="76">
        <f>U45*Constants!$I$10</f>
        <v>820.9655172413793</v>
      </c>
      <c r="BP45" s="72">
        <f>V45*Constants!$I$12</f>
        <v>41.123076923076923</v>
      </c>
      <c r="BQ45" s="72">
        <f>W45*Constants!$I$11</f>
        <v>11.665116279069769</v>
      </c>
      <c r="BR45" s="72">
        <f>X45*Constants!$I$13</f>
        <v>54.613333333333337</v>
      </c>
      <c r="BS45" s="71">
        <f t="shared" si="13"/>
        <v>19920.696100962385</v>
      </c>
    </row>
    <row r="46" spans="1:83">
      <c r="A46" s="147">
        <f>Rawdata!Y48</f>
        <v>93.170833333337214</v>
      </c>
      <c r="B46" s="59">
        <v>30</v>
      </c>
      <c r="C46" s="60" t="s">
        <v>188</v>
      </c>
      <c r="D46" s="60" t="s">
        <v>188</v>
      </c>
      <c r="E46" s="60">
        <v>136.57</v>
      </c>
      <c r="F46" s="60">
        <v>4.4400000000000004</v>
      </c>
      <c r="G46" s="60">
        <v>1.2</v>
      </c>
      <c r="H46" s="60">
        <v>269.12</v>
      </c>
      <c r="I46" s="60">
        <v>2.0499999999999998</v>
      </c>
      <c r="J46" s="60">
        <v>15.71</v>
      </c>
      <c r="K46" s="77">
        <v>3.01</v>
      </c>
      <c r="L46" s="77">
        <v>0.95</v>
      </c>
      <c r="M46" s="77">
        <v>5.26</v>
      </c>
      <c r="N46" s="64">
        <f t="shared" si="0"/>
        <v>0</v>
      </c>
      <c r="O46" s="64">
        <f t="shared" si="1"/>
        <v>0</v>
      </c>
      <c r="P46" s="64">
        <f t="shared" si="2"/>
        <v>4097.0999999999995</v>
      </c>
      <c r="Q46" s="64">
        <f t="shared" si="3"/>
        <v>133.20000000000002</v>
      </c>
      <c r="R46" s="64">
        <f t="shared" si="4"/>
        <v>36</v>
      </c>
      <c r="S46" s="64">
        <f t="shared" si="5"/>
        <v>8073.6</v>
      </c>
      <c r="T46" s="64">
        <f t="shared" si="6"/>
        <v>61.499999999999993</v>
      </c>
      <c r="U46" s="64">
        <f t="shared" si="7"/>
        <v>471.3</v>
      </c>
      <c r="V46" s="64">
        <f t="shared" si="8"/>
        <v>30.099999999999998</v>
      </c>
      <c r="W46" s="64">
        <f t="shared" si="9"/>
        <v>9.5</v>
      </c>
      <c r="X46" s="64">
        <f t="shared" si="10"/>
        <v>52.599999999999994</v>
      </c>
      <c r="Y46" s="61">
        <f>N46/Constants!$C$14</f>
        <v>0</v>
      </c>
      <c r="Z46" s="61">
        <f>O46/Constants!$C$15</f>
        <v>0</v>
      </c>
      <c r="AA46" s="61">
        <f>P46/Constants!$C$3</f>
        <v>68.228143213988332</v>
      </c>
      <c r="AB46" s="61">
        <f>Q46/Constants!$C$4</f>
        <v>1.7980561555075596</v>
      </c>
      <c r="AC46" s="61">
        <f>R46/Constants!$C$5</f>
        <v>0.40858018386108275</v>
      </c>
      <c r="AD46" s="61">
        <f>S46/Constants!$C$6</f>
        <v>91.630915900578827</v>
      </c>
      <c r="AE46" s="61">
        <f>T46/Constants!$C$8</f>
        <v>0.60217370018603733</v>
      </c>
      <c r="AF46" s="61">
        <f>U46/Constants!$C$10</f>
        <v>4.0573347107438016</v>
      </c>
      <c r="AG46" s="61">
        <f>V46/Constants!$C$12</f>
        <v>0.28913255430841123</v>
      </c>
      <c r="AH46" s="61">
        <f>W46/Constants!$C$11</f>
        <v>0.11034963410384481</v>
      </c>
      <c r="AI46" s="61">
        <f>X46/Constants!$C$13</f>
        <v>0.5839253996447602</v>
      </c>
      <c r="AJ46" s="73">
        <f>Y46*Constants!$D$14</f>
        <v>0</v>
      </c>
      <c r="AK46" s="73">
        <f>Z46*Constants!$D$15</f>
        <v>0</v>
      </c>
      <c r="AL46" s="73">
        <f>AA46*Constants!$D$3</f>
        <v>136.45628642797666</v>
      </c>
      <c r="AM46" s="73">
        <f>AB46*Constants!$D$4</f>
        <v>5.3941684665226788</v>
      </c>
      <c r="AN46" s="73">
        <f>AC46*Constants!$D$5</f>
        <v>1.634320735444331</v>
      </c>
      <c r="AO46" s="73">
        <f>AD46*Constants!$D$6</f>
        <v>366.52366360231531</v>
      </c>
      <c r="AP46" s="73">
        <f>AE46*Constants!$D$8</f>
        <v>3.0108685009301865</v>
      </c>
      <c r="AQ46" s="73">
        <f>AF46*Constants!$D$10</f>
        <v>24.344008264462808</v>
      </c>
      <c r="AR46" s="73">
        <f>AG46*Constants!$D$12</f>
        <v>1.1565302172336449</v>
      </c>
      <c r="AS46" s="73">
        <f>AH46*Constants!$D$11</f>
        <v>0.44139853641537924</v>
      </c>
      <c r="AT46" s="73">
        <f>AI46*Constants!$D$13</f>
        <v>1.7517761989342806</v>
      </c>
      <c r="AU46" s="73">
        <f t="shared" si="11"/>
        <v>540.71302095023532</v>
      </c>
      <c r="AV46" s="74">
        <f>Y46*Constants!$E$14</f>
        <v>0</v>
      </c>
      <c r="AW46" s="74">
        <f>Z46*Constants!$E$15</f>
        <v>0</v>
      </c>
      <c r="AX46" s="74">
        <f>AA46*Constants!$E$3</f>
        <v>545.82514571190666</v>
      </c>
      <c r="AY46" s="74">
        <f>AB46*Constants!$E$4</f>
        <v>25.172786177105834</v>
      </c>
      <c r="AZ46" s="74">
        <f>AC46*Constants!$E$5</f>
        <v>8.171603677221654</v>
      </c>
      <c r="BA46" s="74">
        <f>AD46*Constants!$E$6</f>
        <v>1832.6183180115765</v>
      </c>
      <c r="BB46" s="74">
        <f>AE46*Constants!$E$8</f>
        <v>15.65651620483697</v>
      </c>
      <c r="BC46" s="74">
        <f>AF46*Constants!$E$10</f>
        <v>129.83471074380165</v>
      </c>
      <c r="BD46" s="74">
        <f>AG46*Constants!$E$12</f>
        <v>5.2043859775514019</v>
      </c>
      <c r="BE46" s="74">
        <f>AH46*Constants!$E$11</f>
        <v>1.9862934138692065</v>
      </c>
      <c r="BF46" s="74">
        <f>AI46*Constants!$E$13</f>
        <v>7.0071047957371224</v>
      </c>
      <c r="BG46" s="74">
        <f t="shared" si="12"/>
        <v>2571.476864713607</v>
      </c>
      <c r="BH46" s="76">
        <f>N46*Constants!$I$14</f>
        <v>0</v>
      </c>
      <c r="BI46" s="76">
        <f>O46*Constants!$I$15</f>
        <v>0</v>
      </c>
      <c r="BJ46" s="76">
        <f>P46*Constants!$I$3</f>
        <v>4370.24</v>
      </c>
      <c r="BK46" s="76">
        <f>Q46*Constants!$I$4</f>
        <v>201.60000000000005</v>
      </c>
      <c r="BL46" s="76">
        <f>R46*Constants!$I$5</f>
        <v>65.454545454545453</v>
      </c>
      <c r="BM46" s="76">
        <f>S46*Constants!$I$6</f>
        <v>14679.272727272728</v>
      </c>
      <c r="BN46" s="76">
        <f>T46*Constants!$I$8</f>
        <v>125.41176470588233</v>
      </c>
      <c r="BO46" s="76">
        <f>U46*Constants!$I$10</f>
        <v>1040.1103448275862</v>
      </c>
      <c r="BP46" s="72">
        <f>V46*Constants!$I$12</f>
        <v>41.676923076923075</v>
      </c>
      <c r="BQ46" s="72">
        <f>W46*Constants!$I$11</f>
        <v>16.790697674418606</v>
      </c>
      <c r="BR46" s="72">
        <f>X46*Constants!$I$13</f>
        <v>56.106666666666662</v>
      </c>
      <c r="BS46" s="71">
        <f t="shared" si="13"/>
        <v>20596.66366967875</v>
      </c>
      <c r="BT46" t="s">
        <v>178</v>
      </c>
      <c r="BU46" t="s">
        <v>179</v>
      </c>
      <c r="BV46" t="s">
        <v>180</v>
      </c>
      <c r="BW46" t="s">
        <v>181</v>
      </c>
      <c r="BX46" t="s">
        <v>182</v>
      </c>
      <c r="BY46" t="s">
        <v>183</v>
      </c>
      <c r="BZ46" t="s">
        <v>184</v>
      </c>
      <c r="CA46" t="s">
        <v>185</v>
      </c>
      <c r="CB46" t="s">
        <v>191</v>
      </c>
      <c r="CC46" t="s">
        <v>192</v>
      </c>
      <c r="CD46" t="s">
        <v>202</v>
      </c>
      <c r="CE46" t="s">
        <v>198</v>
      </c>
    </row>
    <row r="47" spans="1:83">
      <c r="A47" s="143">
        <f>Rawdata!Y49</f>
        <v>96.150694444448163</v>
      </c>
      <c r="B47" s="59">
        <v>20</v>
      </c>
      <c r="C47" s="60" t="s">
        <v>188</v>
      </c>
      <c r="D47" s="60" t="s">
        <v>188</v>
      </c>
      <c r="E47" s="60">
        <v>194.91</v>
      </c>
      <c r="F47" s="60">
        <v>4.8600000000000003</v>
      </c>
      <c r="G47" s="60">
        <v>1.82</v>
      </c>
      <c r="H47" s="60">
        <v>384.95</v>
      </c>
      <c r="I47" s="60">
        <v>2.95</v>
      </c>
      <c r="J47" s="60">
        <v>26.76</v>
      </c>
      <c r="K47" s="77">
        <v>2.52</v>
      </c>
      <c r="L47" s="77">
        <v>0.9</v>
      </c>
      <c r="M47" s="77">
        <v>5.31</v>
      </c>
      <c r="N47" s="64">
        <f t="shared" si="0"/>
        <v>0</v>
      </c>
      <c r="O47" s="64">
        <f t="shared" si="1"/>
        <v>0</v>
      </c>
      <c r="P47" s="64">
        <f t="shared" si="2"/>
        <v>3898.2</v>
      </c>
      <c r="Q47" s="64">
        <f t="shared" si="3"/>
        <v>97.2</v>
      </c>
      <c r="R47" s="64">
        <f t="shared" si="4"/>
        <v>36.4</v>
      </c>
      <c r="S47" s="64">
        <f t="shared" si="5"/>
        <v>7699</v>
      </c>
      <c r="T47" s="64">
        <f t="shared" si="6"/>
        <v>59</v>
      </c>
      <c r="U47" s="64">
        <f t="shared" si="7"/>
        <v>535.20000000000005</v>
      </c>
      <c r="V47" s="64">
        <f t="shared" si="8"/>
        <v>25.2</v>
      </c>
      <c r="W47" s="64">
        <f t="shared" si="9"/>
        <v>9</v>
      </c>
      <c r="X47" s="64">
        <f t="shared" si="10"/>
        <v>53.099999999999994</v>
      </c>
      <c r="Y47" s="61">
        <f>N47/Constants!$C$14</f>
        <v>0</v>
      </c>
      <c r="Z47" s="61">
        <f>O47/Constants!$C$15</f>
        <v>0</v>
      </c>
      <c r="AA47" s="61">
        <f>P47/Constants!$C$3</f>
        <v>64.915903413821809</v>
      </c>
      <c r="AB47" s="61">
        <f>Q47/Constants!$C$4</f>
        <v>1.3120950323974083</v>
      </c>
      <c r="AC47" s="61">
        <f>R47/Constants!$C$5</f>
        <v>0.4131199636817614</v>
      </c>
      <c r="AD47" s="61">
        <f>S47/Constants!$C$6</f>
        <v>87.379412098513228</v>
      </c>
      <c r="AE47" s="61">
        <f>T47/Constants!$C$8</f>
        <v>0.57769509448741807</v>
      </c>
      <c r="AF47" s="61">
        <f>U47/Constants!$C$10</f>
        <v>4.6074380165289259</v>
      </c>
      <c r="AG47" s="61">
        <f>V47/Constants!$C$12</f>
        <v>0.24206446407215826</v>
      </c>
      <c r="AH47" s="61">
        <f>W47/Constants!$C$11</f>
        <v>0.10454175862469509</v>
      </c>
      <c r="AI47" s="61">
        <f>X47/Constants!$C$13</f>
        <v>0.58947602131438714</v>
      </c>
      <c r="AJ47" s="73">
        <f>Y47*Constants!$D$14</f>
        <v>0</v>
      </c>
      <c r="AK47" s="73">
        <f>Z47*Constants!$D$15</f>
        <v>0</v>
      </c>
      <c r="AL47" s="73">
        <f>AA47*Constants!$D$3</f>
        <v>129.83180682764362</v>
      </c>
      <c r="AM47" s="73">
        <f>AB47*Constants!$D$4</f>
        <v>3.9362850971922247</v>
      </c>
      <c r="AN47" s="73">
        <f>AC47*Constants!$D$5</f>
        <v>1.6524798547270456</v>
      </c>
      <c r="AO47" s="73">
        <f>AD47*Constants!$D$6</f>
        <v>349.51764839405291</v>
      </c>
      <c r="AP47" s="73">
        <f>AE47*Constants!$D$8</f>
        <v>2.8884754724370905</v>
      </c>
      <c r="AQ47" s="73">
        <f>AF47*Constants!$D$10</f>
        <v>27.644628099173556</v>
      </c>
      <c r="AR47" s="73">
        <f>AG47*Constants!$D$12</f>
        <v>0.96825785628863303</v>
      </c>
      <c r="AS47" s="73">
        <f>AH47*Constants!$D$11</f>
        <v>0.41816703449878034</v>
      </c>
      <c r="AT47" s="73">
        <f>AI47*Constants!$D$13</f>
        <v>1.7684280639431615</v>
      </c>
      <c r="AU47" s="73">
        <f t="shared" si="11"/>
        <v>518.626176699957</v>
      </c>
      <c r="AV47" s="74">
        <f>Y47*Constants!$E$14</f>
        <v>0</v>
      </c>
      <c r="AW47" s="74">
        <f>Z47*Constants!$E$15</f>
        <v>0</v>
      </c>
      <c r="AX47" s="74">
        <f>AA47*Constants!$E$3</f>
        <v>519.32722731057447</v>
      </c>
      <c r="AY47" s="74">
        <f>AB47*Constants!$E$4</f>
        <v>18.369330453563716</v>
      </c>
      <c r="AZ47" s="74">
        <f>AC47*Constants!$E$5</f>
        <v>8.2623992736352285</v>
      </c>
      <c r="BA47" s="74">
        <f>AD47*Constants!$E$6</f>
        <v>1747.5882419702646</v>
      </c>
      <c r="BB47" s="74">
        <f>AE47*Constants!$E$8</f>
        <v>15.020072456672869</v>
      </c>
      <c r="BC47" s="74">
        <f>AF47*Constants!$E$10</f>
        <v>147.43801652892563</v>
      </c>
      <c r="BD47" s="74">
        <f>AG47*Constants!$E$12</f>
        <v>4.3571603532988483</v>
      </c>
      <c r="BE47" s="74">
        <f>AH47*Constants!$E$11</f>
        <v>1.8817516552445115</v>
      </c>
      <c r="BF47" s="74">
        <f>AI47*Constants!$E$13</f>
        <v>7.0737122557726462</v>
      </c>
      <c r="BG47" s="74">
        <f t="shared" si="12"/>
        <v>2469.3179122579522</v>
      </c>
      <c r="BH47" s="76">
        <f>N47*Constants!$I$14</f>
        <v>0</v>
      </c>
      <c r="BI47" s="76">
        <f>O47*Constants!$I$15</f>
        <v>0</v>
      </c>
      <c r="BJ47" s="76">
        <f>P47*Constants!$I$3</f>
        <v>4158.08</v>
      </c>
      <c r="BK47" s="76">
        <f>Q47*Constants!$I$4</f>
        <v>147.11351351351354</v>
      </c>
      <c r="BL47" s="76">
        <f>R47*Constants!$I$5</f>
        <v>66.181818181818173</v>
      </c>
      <c r="BM47" s="76">
        <f>S47*Constants!$I$6</f>
        <v>13998.181818181818</v>
      </c>
      <c r="BN47" s="76">
        <f>T47*Constants!$I$8</f>
        <v>120.31372549019608</v>
      </c>
      <c r="BO47" s="76">
        <f>U47*Constants!$I$10</f>
        <v>1181.1310344827587</v>
      </c>
      <c r="BP47" s="72">
        <f>V47*Constants!$I$12</f>
        <v>34.892307692307689</v>
      </c>
      <c r="BQ47" s="72">
        <f>W47*Constants!$I$11</f>
        <v>15.906976744186046</v>
      </c>
      <c r="BR47" s="72">
        <f>X47*Constants!$I$13</f>
        <v>56.639999999999993</v>
      </c>
      <c r="BS47" s="163">
        <f t="shared" si="13"/>
        <v>19778.441194286599</v>
      </c>
      <c r="BT47">
        <f>AVERAGE(BH47:BH54)</f>
        <v>58.734000000000002</v>
      </c>
      <c r="BU47">
        <f t="shared" ref="BU47:CD47" si="14">AVERAGE(BI47:BI54)</f>
        <v>3.1135135135135137</v>
      </c>
      <c r="BV47">
        <f t="shared" si="14"/>
        <v>4397.4533333333329</v>
      </c>
      <c r="BW47">
        <f t="shared" si="14"/>
        <v>146.41351351351352</v>
      </c>
      <c r="BX47">
        <f t="shared" si="14"/>
        <v>83.86363636363636</v>
      </c>
      <c r="BY47">
        <f t="shared" si="14"/>
        <v>14153.795454545452</v>
      </c>
      <c r="BZ47">
        <f t="shared" si="14"/>
        <v>133.46666666666667</v>
      </c>
      <c r="CA47">
        <f t="shared" si="14"/>
        <v>763.25517241379305</v>
      </c>
      <c r="CB47">
        <f t="shared" si="14"/>
        <v>33.057692307692307</v>
      </c>
      <c r="CC47">
        <f t="shared" si="14"/>
        <v>13.587209302325579</v>
      </c>
      <c r="CD47">
        <f t="shared" si="14"/>
        <v>51.4</v>
      </c>
      <c r="CE47">
        <f>AVERAGE(BS47:BS54)</f>
        <v>19838.140191959927</v>
      </c>
    </row>
    <row r="48" spans="1:83">
      <c r="A48" s="143">
        <f>Rawdata!Y50</f>
        <v>98.159722222226264</v>
      </c>
      <c r="B48" s="59">
        <v>20</v>
      </c>
      <c r="C48" s="60" t="s">
        <v>188</v>
      </c>
      <c r="D48" s="60" t="s">
        <v>188</v>
      </c>
      <c r="E48" s="60">
        <v>200.98</v>
      </c>
      <c r="F48" s="60">
        <v>4.7300000000000004</v>
      </c>
      <c r="G48" s="60">
        <v>2.02</v>
      </c>
      <c r="H48" s="60">
        <v>369.05</v>
      </c>
      <c r="I48" s="60">
        <v>2.61</v>
      </c>
      <c r="J48" s="60">
        <v>26.54</v>
      </c>
      <c r="K48" s="77">
        <v>5.63</v>
      </c>
      <c r="L48" s="77">
        <v>0.65</v>
      </c>
      <c r="M48" s="77">
        <v>5.94</v>
      </c>
      <c r="N48" s="64">
        <f t="shared" si="0"/>
        <v>0</v>
      </c>
      <c r="O48" s="64">
        <f t="shared" si="1"/>
        <v>0</v>
      </c>
      <c r="P48" s="64">
        <f t="shared" si="2"/>
        <v>4019.6</v>
      </c>
      <c r="Q48" s="64">
        <f t="shared" si="3"/>
        <v>94.600000000000009</v>
      </c>
      <c r="R48" s="64">
        <f t="shared" si="4"/>
        <v>40.4</v>
      </c>
      <c r="S48" s="64">
        <f t="shared" si="5"/>
        <v>7381</v>
      </c>
      <c r="T48" s="64">
        <f t="shared" si="6"/>
        <v>52.199999999999996</v>
      </c>
      <c r="U48" s="64">
        <f t="shared" si="7"/>
        <v>530.79999999999995</v>
      </c>
      <c r="V48" s="64">
        <f t="shared" si="8"/>
        <v>56.3</v>
      </c>
      <c r="W48" s="64">
        <f t="shared" si="9"/>
        <v>6.5</v>
      </c>
      <c r="X48" s="64">
        <f t="shared" si="10"/>
        <v>59.400000000000006</v>
      </c>
      <c r="Y48" s="61">
        <f>N48/Constants!$C$14</f>
        <v>0</v>
      </c>
      <c r="Z48" s="61">
        <f>O48/Constants!$C$15</f>
        <v>0</v>
      </c>
      <c r="AA48" s="61">
        <f>P48/Constants!$C$3</f>
        <v>66.93755203996669</v>
      </c>
      <c r="AB48" s="61">
        <f>Q48/Constants!$C$4</f>
        <v>1.2769978401727864</v>
      </c>
      <c r="AC48" s="61">
        <f>R48/Constants!$C$5</f>
        <v>0.45851776188854837</v>
      </c>
      <c r="AD48" s="61">
        <f>S48/Constants!$C$6</f>
        <v>83.770287141073652</v>
      </c>
      <c r="AE48" s="61">
        <f>T48/Constants!$C$8</f>
        <v>0.51111328698717318</v>
      </c>
      <c r="AF48" s="61">
        <f>U48/Constants!$C$10</f>
        <v>4.5695592286501379</v>
      </c>
      <c r="AG48" s="61">
        <f>V48/Constants!$C$12</f>
        <v>0.54080275108184561</v>
      </c>
      <c r="AH48" s="61">
        <f>W48/Constants!$C$11</f>
        <v>7.5502381228946452E-2</v>
      </c>
      <c r="AI48" s="61">
        <f>X48/Constants!$C$13</f>
        <v>0.65941385435168742</v>
      </c>
      <c r="AJ48" s="73">
        <f>Y48*Constants!$D$14</f>
        <v>0</v>
      </c>
      <c r="AK48" s="73">
        <f>Z48*Constants!$D$15</f>
        <v>0</v>
      </c>
      <c r="AL48" s="73">
        <f>AA48*Constants!$D$3</f>
        <v>133.87510407993338</v>
      </c>
      <c r="AM48" s="73">
        <f>AB48*Constants!$D$4</f>
        <v>3.8309935205183594</v>
      </c>
      <c r="AN48" s="73">
        <f>AC48*Constants!$D$5</f>
        <v>1.8340710475541935</v>
      </c>
      <c r="AO48" s="73">
        <f>AD48*Constants!$D$6</f>
        <v>335.08114856429461</v>
      </c>
      <c r="AP48" s="73">
        <f>AE48*Constants!$D$8</f>
        <v>2.5555664349358658</v>
      </c>
      <c r="AQ48" s="73">
        <f>AF48*Constants!$D$10</f>
        <v>27.417355371900825</v>
      </c>
      <c r="AR48" s="73">
        <f>AG48*Constants!$D$12</f>
        <v>2.1632110043273824</v>
      </c>
      <c r="AS48" s="73">
        <f>AH48*Constants!$D$11</f>
        <v>0.30200952491578581</v>
      </c>
      <c r="AT48" s="73">
        <f>AI48*Constants!$D$13</f>
        <v>1.9782415630550623</v>
      </c>
      <c r="AU48" s="73">
        <f t="shared" si="11"/>
        <v>509.03770111143547</v>
      </c>
      <c r="AV48" s="74">
        <f>Y48*Constants!$E$14</f>
        <v>0</v>
      </c>
      <c r="AW48" s="74">
        <f>Z48*Constants!$E$15</f>
        <v>0</v>
      </c>
      <c r="AX48" s="74">
        <f>AA48*Constants!$E$3</f>
        <v>535.50041631973352</v>
      </c>
      <c r="AY48" s="74">
        <f>AB48*Constants!$E$4</f>
        <v>17.87796976241901</v>
      </c>
      <c r="AZ48" s="74">
        <f>AC48*Constants!$E$5</f>
        <v>9.1703552377709681</v>
      </c>
      <c r="BA48" s="74">
        <f>AD48*Constants!$E$6</f>
        <v>1675.405742821473</v>
      </c>
      <c r="BB48" s="74">
        <f>AE48*Constants!$E$8</f>
        <v>13.288945461666502</v>
      </c>
      <c r="BC48" s="74">
        <f>AF48*Constants!$E$10</f>
        <v>146.22589531680441</v>
      </c>
      <c r="BD48" s="74">
        <f>AG48*Constants!$E$12</f>
        <v>9.7344495194732215</v>
      </c>
      <c r="BE48" s="74">
        <f>AH48*Constants!$E$11</f>
        <v>1.3590428621210362</v>
      </c>
      <c r="BF48" s="74">
        <f>AI48*Constants!$E$13</f>
        <v>7.9129662522202491</v>
      </c>
      <c r="BG48" s="74">
        <f t="shared" si="12"/>
        <v>2416.4757835536816</v>
      </c>
      <c r="BH48" s="76">
        <f>N48*Constants!$I$14</f>
        <v>0</v>
      </c>
      <c r="BI48" s="76">
        <f>O48*Constants!$I$15</f>
        <v>0</v>
      </c>
      <c r="BJ48" s="76">
        <f>P48*Constants!$I$3</f>
        <v>4287.5733333333328</v>
      </c>
      <c r="BK48" s="76">
        <f>Q48*Constants!$I$4</f>
        <v>143.1783783783784</v>
      </c>
      <c r="BL48" s="76">
        <f>R48*Constants!$I$5</f>
        <v>73.454545454545453</v>
      </c>
      <c r="BM48" s="76">
        <f>S48*Constants!$I$6</f>
        <v>13420</v>
      </c>
      <c r="BN48" s="76">
        <f>T48*Constants!$I$8</f>
        <v>106.44705882352939</v>
      </c>
      <c r="BO48" s="76">
        <f>U48*Constants!$I$10</f>
        <v>1171.4206896551723</v>
      </c>
      <c r="BP48" s="72">
        <f>V48*Constants!$I$12</f>
        <v>77.953846153846143</v>
      </c>
      <c r="BQ48" s="72">
        <f>W48*Constants!$I$11</f>
        <v>11.488372093023257</v>
      </c>
      <c r="BR48" s="72">
        <f>X48*Constants!$I$13</f>
        <v>63.360000000000007</v>
      </c>
      <c r="BS48" s="163">
        <f t="shared" si="13"/>
        <v>19354.876223891832</v>
      </c>
      <c r="BT48" s="164">
        <f>BT47/$CE$47</f>
        <v>2.960660597801599E-3</v>
      </c>
      <c r="BU48" s="164">
        <f t="shared" ref="BU48:CD48" si="15">BU47/$CE$47</f>
        <v>1.56945836826749E-4</v>
      </c>
      <c r="BV48" s="164">
        <f t="shared" si="15"/>
        <v>0.22166661243353591</v>
      </c>
      <c r="BW48" s="164">
        <f t="shared" si="15"/>
        <v>7.3804052243189875E-3</v>
      </c>
      <c r="BX48" s="164">
        <f t="shared" si="15"/>
        <v>4.2273940778795845E-3</v>
      </c>
      <c r="BY48" s="164">
        <f t="shared" si="15"/>
        <v>0.71346382864467073</v>
      </c>
      <c r="BZ48" s="164">
        <f t="shared" si="15"/>
        <v>6.7277812020281281E-3</v>
      </c>
      <c r="CA48" s="164">
        <f t="shared" si="15"/>
        <v>3.8474129380491419E-2</v>
      </c>
      <c r="CB48" s="164">
        <f t="shared" si="15"/>
        <v>1.6663705361397762E-3</v>
      </c>
      <c r="CC48" s="164">
        <f t="shared" si="15"/>
        <v>6.8490338160994812E-4</v>
      </c>
      <c r="CD48" s="164">
        <f t="shared" si="15"/>
        <v>2.5909686846971461E-3</v>
      </c>
      <c r="CE48" s="164">
        <f>CE47/$CE$47</f>
        <v>1</v>
      </c>
    </row>
    <row r="49" spans="1:71">
      <c r="A49" s="143">
        <f>Rawdata!Y51</f>
        <v>100.14930555555475</v>
      </c>
      <c r="B49" s="59">
        <v>20</v>
      </c>
      <c r="C49" s="60">
        <v>0.63</v>
      </c>
      <c r="D49" s="60" t="s">
        <v>188</v>
      </c>
      <c r="E49" s="60">
        <v>200.46</v>
      </c>
      <c r="F49" s="60">
        <v>4.82</v>
      </c>
      <c r="G49" s="60">
        <v>1.89</v>
      </c>
      <c r="H49" s="60">
        <v>390.12</v>
      </c>
      <c r="I49" s="60">
        <v>3.06</v>
      </c>
      <c r="J49" s="60">
        <v>21.76</v>
      </c>
      <c r="K49" s="77">
        <v>2.27</v>
      </c>
      <c r="L49" s="77">
        <v>1.02</v>
      </c>
      <c r="M49" s="77">
        <v>5.24</v>
      </c>
      <c r="N49" s="64">
        <f t="shared" si="0"/>
        <v>12.6</v>
      </c>
      <c r="O49" s="64">
        <f t="shared" si="1"/>
        <v>0</v>
      </c>
      <c r="P49" s="64">
        <f t="shared" si="2"/>
        <v>4009.2000000000003</v>
      </c>
      <c r="Q49" s="64">
        <f t="shared" si="3"/>
        <v>96.4</v>
      </c>
      <c r="R49" s="64">
        <f t="shared" si="4"/>
        <v>37.799999999999997</v>
      </c>
      <c r="S49" s="64">
        <f t="shared" si="5"/>
        <v>7802.4</v>
      </c>
      <c r="T49" s="64">
        <f t="shared" si="6"/>
        <v>61.2</v>
      </c>
      <c r="U49" s="64">
        <f t="shared" si="7"/>
        <v>435.20000000000005</v>
      </c>
      <c r="V49" s="64">
        <f t="shared" si="8"/>
        <v>22.7</v>
      </c>
      <c r="W49" s="64">
        <f t="shared" si="9"/>
        <v>10.199999999999999</v>
      </c>
      <c r="X49" s="64">
        <f t="shared" si="10"/>
        <v>52.400000000000006</v>
      </c>
      <c r="Y49" s="61">
        <f>N49/Constants!$C$14</f>
        <v>0.27350872623078926</v>
      </c>
      <c r="Z49" s="61">
        <f>O49/Constants!$C$15</f>
        <v>0</v>
      </c>
      <c r="AA49" s="61">
        <f>P49/Constants!$C$3</f>
        <v>66.764363030807672</v>
      </c>
      <c r="AB49" s="61">
        <f>Q49/Constants!$C$4</f>
        <v>1.3012958963282939</v>
      </c>
      <c r="AC49" s="61">
        <f>R49/Constants!$C$5</f>
        <v>0.42900919305413687</v>
      </c>
      <c r="AD49" s="61">
        <f>S49/Constants!$C$6</f>
        <v>88.552945182158666</v>
      </c>
      <c r="AE49" s="61">
        <f>T49/Constants!$C$8</f>
        <v>0.59923626750220316</v>
      </c>
      <c r="AF49" s="61">
        <f>U49/Constants!$C$10</f>
        <v>3.7465564738292017</v>
      </c>
      <c r="AG49" s="61">
        <f>V49/Constants!$C$12</f>
        <v>0.21805013231896794</v>
      </c>
      <c r="AH49" s="61">
        <f>W49/Constants!$C$11</f>
        <v>0.11848065977465441</v>
      </c>
      <c r="AI49" s="61">
        <f>X49/Constants!$C$13</f>
        <v>0.58170515097690945</v>
      </c>
      <c r="AJ49" s="73">
        <f>Y49*Constants!$D$14</f>
        <v>0.54701745246157851</v>
      </c>
      <c r="AK49" s="73">
        <f>Z49*Constants!$D$15</f>
        <v>0</v>
      </c>
      <c r="AL49" s="73">
        <f>AA49*Constants!$D$3</f>
        <v>133.52872606161534</v>
      </c>
      <c r="AM49" s="73">
        <f>AB49*Constants!$D$4</f>
        <v>3.9038876889848817</v>
      </c>
      <c r="AN49" s="73">
        <f>AC49*Constants!$D$5</f>
        <v>1.7160367722165475</v>
      </c>
      <c r="AO49" s="73">
        <f>AD49*Constants!$D$6</f>
        <v>354.21178072863466</v>
      </c>
      <c r="AP49" s="73">
        <f>AE49*Constants!$D$8</f>
        <v>2.9961813375110156</v>
      </c>
      <c r="AQ49" s="73">
        <f>AF49*Constants!$D$10</f>
        <v>22.47933884297521</v>
      </c>
      <c r="AR49" s="73">
        <f>AG49*Constants!$D$12</f>
        <v>0.87220052927587177</v>
      </c>
      <c r="AS49" s="73">
        <f>AH49*Constants!$D$11</f>
        <v>0.47392263909861765</v>
      </c>
      <c r="AT49" s="73">
        <f>AI49*Constants!$D$13</f>
        <v>1.7451154529307282</v>
      </c>
      <c r="AU49" s="73">
        <f t="shared" si="11"/>
        <v>522.4742075057045</v>
      </c>
      <c r="AV49" s="74">
        <f>Y49*Constants!$E$14</f>
        <v>3.2821047147694711</v>
      </c>
      <c r="AW49" s="74">
        <f>Z49*Constants!$E$15</f>
        <v>0</v>
      </c>
      <c r="AX49" s="74">
        <f>AA49*Constants!$E$3</f>
        <v>534.11490424646138</v>
      </c>
      <c r="AY49" s="74">
        <f>AB49*Constants!$E$4</f>
        <v>18.218142548596113</v>
      </c>
      <c r="AZ49" s="74">
        <f>AC49*Constants!$E$5</f>
        <v>8.5801838610827375</v>
      </c>
      <c r="BA49" s="74">
        <f>AD49*Constants!$E$6</f>
        <v>1771.0589036431734</v>
      </c>
      <c r="BB49" s="74">
        <f>AE49*Constants!$E$8</f>
        <v>15.580142955057282</v>
      </c>
      <c r="BC49" s="74">
        <f>AF49*Constants!$E$10</f>
        <v>119.88980716253445</v>
      </c>
      <c r="BD49" s="74">
        <f>AG49*Constants!$E$12</f>
        <v>3.9249023817414228</v>
      </c>
      <c r="BE49" s="74">
        <f>AH49*Constants!$E$11</f>
        <v>2.1326518759437794</v>
      </c>
      <c r="BF49" s="74">
        <f>AI49*Constants!$E$13</f>
        <v>6.9804618117229129</v>
      </c>
      <c r="BG49" s="74">
        <f t="shared" si="12"/>
        <v>2483.7622052010834</v>
      </c>
      <c r="BH49" s="76">
        <f>N49*Constants!$I$14</f>
        <v>26.207999999999998</v>
      </c>
      <c r="BI49" s="76">
        <f>O49*Constants!$I$15</f>
        <v>0</v>
      </c>
      <c r="BJ49" s="76">
        <f>P49*Constants!$I$3</f>
        <v>4276.4800000000005</v>
      </c>
      <c r="BK49" s="76">
        <f>Q49*Constants!$I$4</f>
        <v>145.90270270270273</v>
      </c>
      <c r="BL49" s="76">
        <f>R49*Constants!$I$5</f>
        <v>68.72727272727272</v>
      </c>
      <c r="BM49" s="76">
        <f>S49*Constants!$I$6</f>
        <v>14186.181818181816</v>
      </c>
      <c r="BN49" s="76">
        <f>T49*Constants!$I$8</f>
        <v>124.8</v>
      </c>
      <c r="BO49" s="76">
        <f>U49*Constants!$I$10</f>
        <v>960.44137931034493</v>
      </c>
      <c r="BP49" s="72">
        <f>V49*Constants!$I$12</f>
        <v>31.430769230769229</v>
      </c>
      <c r="BQ49" s="72">
        <f>W49*Constants!$I$11</f>
        <v>18.027906976744184</v>
      </c>
      <c r="BR49" s="72">
        <f>X49*Constants!$I$13</f>
        <v>55.893333333333338</v>
      </c>
      <c r="BS49" s="163">
        <f t="shared" si="13"/>
        <v>19894.093182462984</v>
      </c>
    </row>
    <row r="50" spans="1:71">
      <c r="A50" s="143">
        <f>Rawdata!Y52</f>
        <v>103.13680555555766</v>
      </c>
      <c r="B50" s="59">
        <v>20</v>
      </c>
      <c r="C50" s="60">
        <v>0.95</v>
      </c>
      <c r="D50" s="60" t="s">
        <v>188</v>
      </c>
      <c r="E50" s="60">
        <v>203.7</v>
      </c>
      <c r="F50" s="60">
        <v>5.5</v>
      </c>
      <c r="G50" s="60">
        <v>2.4500000000000002</v>
      </c>
      <c r="H50" s="60">
        <v>380.75</v>
      </c>
      <c r="I50" s="60">
        <v>3.2</v>
      </c>
      <c r="J50" s="60">
        <v>19.3</v>
      </c>
      <c r="K50" s="77">
        <v>2.13</v>
      </c>
      <c r="L50" s="77">
        <v>1.1499999999999999</v>
      </c>
      <c r="M50" s="77">
        <v>5.22</v>
      </c>
      <c r="N50" s="64">
        <f t="shared" si="0"/>
        <v>19</v>
      </c>
      <c r="O50" s="64">
        <f t="shared" si="1"/>
        <v>0</v>
      </c>
      <c r="P50" s="64">
        <f t="shared" si="2"/>
        <v>4074</v>
      </c>
      <c r="Q50" s="64">
        <f t="shared" si="3"/>
        <v>110</v>
      </c>
      <c r="R50" s="64">
        <f t="shared" si="4"/>
        <v>49</v>
      </c>
      <c r="S50" s="64">
        <f t="shared" si="5"/>
        <v>7615</v>
      </c>
      <c r="T50" s="64">
        <f t="shared" si="6"/>
        <v>64</v>
      </c>
      <c r="U50" s="64">
        <f t="shared" si="7"/>
        <v>386</v>
      </c>
      <c r="V50" s="64">
        <f t="shared" si="8"/>
        <v>21.299999999999997</v>
      </c>
      <c r="W50" s="64">
        <f t="shared" si="9"/>
        <v>11.5</v>
      </c>
      <c r="X50" s="64">
        <f t="shared" si="10"/>
        <v>52.199999999999996</v>
      </c>
      <c r="Y50" s="61">
        <f>N50/Constants!$C$14</f>
        <v>0.41243379352261877</v>
      </c>
      <c r="Z50" s="61">
        <f>O50/Constants!$C$15</f>
        <v>0</v>
      </c>
      <c r="AA50" s="61">
        <f>P50/Constants!$C$3</f>
        <v>67.843463780183185</v>
      </c>
      <c r="AB50" s="61">
        <f>Q50/Constants!$C$4</f>
        <v>1.4848812095032398</v>
      </c>
      <c r="AC50" s="61">
        <f>R50/Constants!$C$5</f>
        <v>0.5561230280331404</v>
      </c>
      <c r="AD50" s="61">
        <f>S50/Constants!$C$6</f>
        <v>86.426058336170698</v>
      </c>
      <c r="AE50" s="61">
        <f>T50/Constants!$C$8</f>
        <v>0.62665230588465681</v>
      </c>
      <c r="AF50" s="61">
        <f>U50/Constants!$C$10</f>
        <v>3.3230027548209367</v>
      </c>
      <c r="AG50" s="61">
        <f>V50/Constants!$C$12</f>
        <v>0.20460210653718136</v>
      </c>
      <c r="AH50" s="61">
        <f>W50/Constants!$C$11</f>
        <v>0.13358113602044372</v>
      </c>
      <c r="AI50" s="61">
        <f>X50/Constants!$C$13</f>
        <v>0.57948490230905858</v>
      </c>
      <c r="AJ50" s="73">
        <f>Y50*Constants!$D$14</f>
        <v>0.82486758704523755</v>
      </c>
      <c r="AK50" s="73">
        <f>Z50*Constants!$D$15</f>
        <v>0</v>
      </c>
      <c r="AL50" s="73">
        <f>AA50*Constants!$D$3</f>
        <v>135.68692756036637</v>
      </c>
      <c r="AM50" s="73">
        <f>AB50*Constants!$D$4</f>
        <v>4.4546436285097197</v>
      </c>
      <c r="AN50" s="73">
        <f>AC50*Constants!$D$5</f>
        <v>2.2244921121325616</v>
      </c>
      <c r="AO50" s="73">
        <f>AD50*Constants!$D$6</f>
        <v>345.70423334468279</v>
      </c>
      <c r="AP50" s="73">
        <f>AE50*Constants!$D$8</f>
        <v>3.133261529423284</v>
      </c>
      <c r="AQ50" s="73">
        <f>AF50*Constants!$D$10</f>
        <v>19.938016528925619</v>
      </c>
      <c r="AR50" s="73">
        <f>AG50*Constants!$D$12</f>
        <v>0.81840842614872544</v>
      </c>
      <c r="AS50" s="73">
        <f>AH50*Constants!$D$11</f>
        <v>0.53432454408177488</v>
      </c>
      <c r="AT50" s="73">
        <f>AI50*Constants!$D$13</f>
        <v>1.7384547069271759</v>
      </c>
      <c r="AU50" s="73">
        <f t="shared" si="11"/>
        <v>515.0576299682433</v>
      </c>
      <c r="AV50" s="74">
        <f>Y50*Constants!$E$14</f>
        <v>4.9492055222714253</v>
      </c>
      <c r="AW50" s="74">
        <f>Z50*Constants!$E$15</f>
        <v>0</v>
      </c>
      <c r="AX50" s="74">
        <f>AA50*Constants!$E$3</f>
        <v>542.74771024146548</v>
      </c>
      <c r="AY50" s="74">
        <f>AB50*Constants!$E$4</f>
        <v>20.788336933045358</v>
      </c>
      <c r="AZ50" s="74">
        <f>AC50*Constants!$E$5</f>
        <v>11.122460560662809</v>
      </c>
      <c r="BA50" s="74">
        <f>AD50*Constants!$E$6</f>
        <v>1728.5211667234139</v>
      </c>
      <c r="BB50" s="74">
        <f>AE50*Constants!$E$8</f>
        <v>16.292959953001077</v>
      </c>
      <c r="BC50" s="74">
        <f>AF50*Constants!$E$10</f>
        <v>106.33608815426997</v>
      </c>
      <c r="BD50" s="74">
        <f>AG50*Constants!$E$12</f>
        <v>3.6828379176692643</v>
      </c>
      <c r="BE50" s="74">
        <f>AH50*Constants!$E$11</f>
        <v>2.404460448367987</v>
      </c>
      <c r="BF50" s="74">
        <f>AI50*Constants!$E$13</f>
        <v>6.9538188277087034</v>
      </c>
      <c r="BG50" s="74">
        <f t="shared" si="12"/>
        <v>2443.7990452818758</v>
      </c>
      <c r="BH50" s="76">
        <f>N50*Constants!$I$14</f>
        <v>39.520000000000003</v>
      </c>
      <c r="BI50" s="76">
        <f>O50*Constants!$I$15</f>
        <v>0</v>
      </c>
      <c r="BJ50" s="76">
        <f>P50*Constants!$I$3</f>
        <v>4345.6000000000004</v>
      </c>
      <c r="BK50" s="76">
        <f>Q50*Constants!$I$4</f>
        <v>166.48648648648648</v>
      </c>
      <c r="BL50" s="76">
        <f>R50*Constants!$I$5</f>
        <v>89.090909090909093</v>
      </c>
      <c r="BM50" s="76">
        <f>S50*Constants!$I$6</f>
        <v>13845.454545454544</v>
      </c>
      <c r="BN50" s="76">
        <f>T50*Constants!$I$8</f>
        <v>130.50980392156862</v>
      </c>
      <c r="BO50" s="76">
        <f>U50*Constants!$I$10</f>
        <v>851.86206896551721</v>
      </c>
      <c r="BP50" s="72">
        <f>V50*Constants!$I$12</f>
        <v>29.492307692307687</v>
      </c>
      <c r="BQ50" s="72">
        <f>W50*Constants!$I$11</f>
        <v>20.325581395348838</v>
      </c>
      <c r="BR50" s="72">
        <f>X50*Constants!$I$13</f>
        <v>55.679999999999993</v>
      </c>
      <c r="BS50" s="163">
        <f t="shared" si="13"/>
        <v>19574.021703006685</v>
      </c>
    </row>
    <row r="51" spans="1:71">
      <c r="A51" s="143">
        <f>Rawdata!Y53</f>
        <v>105.14166666667006</v>
      </c>
      <c r="B51" s="59">
        <v>20</v>
      </c>
      <c r="C51" s="60">
        <v>1.84</v>
      </c>
      <c r="D51" s="60" t="s">
        <v>188</v>
      </c>
      <c r="E51" s="60">
        <v>213.95</v>
      </c>
      <c r="F51" s="60">
        <v>5.47</v>
      </c>
      <c r="G51" s="60">
        <v>2.25</v>
      </c>
      <c r="H51" s="60">
        <v>388.9</v>
      </c>
      <c r="I51" s="60">
        <v>3.36</v>
      </c>
      <c r="J51" s="60">
        <v>17.2</v>
      </c>
      <c r="K51" s="77">
        <v>0</v>
      </c>
      <c r="L51" s="77">
        <v>0.78</v>
      </c>
      <c r="M51" s="77">
        <v>3.95</v>
      </c>
      <c r="N51" s="64">
        <f t="shared" si="0"/>
        <v>36.800000000000004</v>
      </c>
      <c r="O51" s="64">
        <f t="shared" si="1"/>
        <v>0</v>
      </c>
      <c r="P51" s="64">
        <f t="shared" si="2"/>
        <v>4279</v>
      </c>
      <c r="Q51" s="64">
        <f t="shared" si="3"/>
        <v>109.39999999999999</v>
      </c>
      <c r="R51" s="64">
        <f t="shared" si="4"/>
        <v>45</v>
      </c>
      <c r="S51" s="64">
        <f t="shared" si="5"/>
        <v>7778</v>
      </c>
      <c r="T51" s="64">
        <f t="shared" si="6"/>
        <v>67.2</v>
      </c>
      <c r="U51" s="64">
        <f t="shared" si="7"/>
        <v>344</v>
      </c>
      <c r="V51" s="64">
        <f t="shared" si="8"/>
        <v>0</v>
      </c>
      <c r="W51" s="64">
        <f t="shared" si="9"/>
        <v>7.8000000000000007</v>
      </c>
      <c r="X51" s="64">
        <f t="shared" si="10"/>
        <v>39.5</v>
      </c>
      <c r="Y51" s="61">
        <f>N51/Constants!$C$14</f>
        <v>0.79881913692801954</v>
      </c>
      <c r="Z51" s="61">
        <f>O51/Constants!$C$15</f>
        <v>0</v>
      </c>
      <c r="AA51" s="61">
        <f>P51/Constants!$C$3</f>
        <v>71.257285595337223</v>
      </c>
      <c r="AB51" s="61">
        <f>Q51/Constants!$C$4</f>
        <v>1.4767818574514038</v>
      </c>
      <c r="AC51" s="61">
        <f>R51/Constants!$C$5</f>
        <v>0.51072522982635338</v>
      </c>
      <c r="AD51" s="61">
        <f>S51/Constants!$C$6</f>
        <v>88.276018613097264</v>
      </c>
      <c r="AE51" s="61">
        <f>T51/Constants!$C$8</f>
        <v>0.65798492117888974</v>
      </c>
      <c r="AF51" s="61">
        <f>U51/Constants!$C$10</f>
        <v>2.9614325068870526</v>
      </c>
      <c r="AG51" s="61">
        <f>V51/Constants!$C$12</f>
        <v>0</v>
      </c>
      <c r="AH51" s="61">
        <f>W51/Constants!$C$11</f>
        <v>9.0602857474735746E-2</v>
      </c>
      <c r="AI51" s="61">
        <f>X51/Constants!$C$13</f>
        <v>0.43849911190053287</v>
      </c>
      <c r="AJ51" s="73">
        <f>Y51*Constants!$D$14</f>
        <v>1.5976382738560391</v>
      </c>
      <c r="AK51" s="73">
        <f>Z51*Constants!$D$15</f>
        <v>0</v>
      </c>
      <c r="AL51" s="73">
        <f>AA51*Constants!$D$3</f>
        <v>142.51457119067445</v>
      </c>
      <c r="AM51" s="73">
        <f>AB51*Constants!$D$4</f>
        <v>4.4303455723542111</v>
      </c>
      <c r="AN51" s="73">
        <f>AC51*Constants!$D$5</f>
        <v>2.0429009193054135</v>
      </c>
      <c r="AO51" s="73">
        <f>AD51*Constants!$D$6</f>
        <v>353.10407445238906</v>
      </c>
      <c r="AP51" s="73">
        <f>AE51*Constants!$D$8</f>
        <v>3.2899246058944485</v>
      </c>
      <c r="AQ51" s="73">
        <f>AF51*Constants!$D$10</f>
        <v>17.768595041322314</v>
      </c>
      <c r="AR51" s="73">
        <f>AG51*Constants!$D$12</f>
        <v>0</v>
      </c>
      <c r="AS51" s="73">
        <f>AH51*Constants!$D$11</f>
        <v>0.36241142989894298</v>
      </c>
      <c r="AT51" s="73">
        <f>AI51*Constants!$D$13</f>
        <v>1.3154973357015987</v>
      </c>
      <c r="AU51" s="73">
        <f t="shared" si="11"/>
        <v>526.42595882139653</v>
      </c>
      <c r="AV51" s="74">
        <f>Y51*Constants!$E$14</f>
        <v>9.5858296431362344</v>
      </c>
      <c r="AW51" s="74">
        <f>Z51*Constants!$E$15</f>
        <v>0</v>
      </c>
      <c r="AX51" s="74">
        <f>AA51*Constants!$E$3</f>
        <v>570.05828476269778</v>
      </c>
      <c r="AY51" s="74">
        <f>AB51*Constants!$E$4</f>
        <v>20.674946004319654</v>
      </c>
      <c r="AZ51" s="74">
        <f>AC51*Constants!$E$5</f>
        <v>10.214504596527068</v>
      </c>
      <c r="BA51" s="74">
        <f>AD51*Constants!$E$6</f>
        <v>1765.5203722619453</v>
      </c>
      <c r="BB51" s="74">
        <f>AE51*Constants!$E$8</f>
        <v>17.107607950651133</v>
      </c>
      <c r="BC51" s="74">
        <f>AF51*Constants!$E$10</f>
        <v>94.765840220385684</v>
      </c>
      <c r="BD51" s="74">
        <f>AG51*Constants!$E$12</f>
        <v>0</v>
      </c>
      <c r="BE51" s="74">
        <f>AH51*Constants!$E$11</f>
        <v>1.6308514345452434</v>
      </c>
      <c r="BF51" s="74">
        <f>AI51*Constants!$E$13</f>
        <v>5.2619893428063946</v>
      </c>
      <c r="BG51" s="74">
        <f t="shared" si="12"/>
        <v>2494.8202262170144</v>
      </c>
      <c r="BH51" s="76">
        <f>N51*Constants!$I$14</f>
        <v>76.544000000000011</v>
      </c>
      <c r="BI51" s="76">
        <f>O51*Constants!$I$15</f>
        <v>0</v>
      </c>
      <c r="BJ51" s="76">
        <f>P51*Constants!$I$3</f>
        <v>4564.2666666666664</v>
      </c>
      <c r="BK51" s="76">
        <f>Q51*Constants!$I$4</f>
        <v>165.57837837837837</v>
      </c>
      <c r="BL51" s="76">
        <f>R51*Constants!$I$5</f>
        <v>81.818181818181813</v>
      </c>
      <c r="BM51" s="76">
        <f>S51*Constants!$I$6</f>
        <v>14141.818181818182</v>
      </c>
      <c r="BN51" s="76">
        <f>T51*Constants!$I$8</f>
        <v>137.03529411764706</v>
      </c>
      <c r="BO51" s="76">
        <f>U51*Constants!$I$10</f>
        <v>759.17241379310349</v>
      </c>
      <c r="BP51" s="72">
        <f>V51*Constants!$I$12</f>
        <v>0</v>
      </c>
      <c r="BQ51" s="72">
        <f>W51*Constants!$I$11</f>
        <v>13.786046511627909</v>
      </c>
      <c r="BR51" s="72">
        <f>X51*Constants!$I$13</f>
        <v>42.133333333333333</v>
      </c>
      <c r="BS51" s="163">
        <f t="shared" si="13"/>
        <v>19982.152496437124</v>
      </c>
    </row>
    <row r="52" spans="1:71">
      <c r="A52" s="143">
        <f>Rawdata!Y54</f>
        <v>107.07916666667006</v>
      </c>
      <c r="B52" s="59">
        <v>20</v>
      </c>
      <c r="C52" s="60">
        <v>2.39</v>
      </c>
      <c r="D52" s="60" t="s">
        <v>188</v>
      </c>
      <c r="E52" s="60">
        <v>212.83</v>
      </c>
      <c r="F52" s="60">
        <v>5.49</v>
      </c>
      <c r="G52" s="60">
        <v>2.71</v>
      </c>
      <c r="H52" s="60">
        <v>384.28</v>
      </c>
      <c r="I52" s="60">
        <v>3.48</v>
      </c>
      <c r="J52" s="60">
        <v>12.29</v>
      </c>
      <c r="K52" s="77">
        <v>1.35</v>
      </c>
      <c r="L52" s="77">
        <v>0.73</v>
      </c>
      <c r="M52" s="77">
        <v>4.21</v>
      </c>
      <c r="N52" s="64">
        <f t="shared" si="0"/>
        <v>47.800000000000004</v>
      </c>
      <c r="O52" s="64">
        <f t="shared" si="1"/>
        <v>0</v>
      </c>
      <c r="P52" s="64">
        <f t="shared" si="2"/>
        <v>4256.6000000000004</v>
      </c>
      <c r="Q52" s="64">
        <f t="shared" si="3"/>
        <v>109.80000000000001</v>
      </c>
      <c r="R52" s="64">
        <f t="shared" si="4"/>
        <v>54.2</v>
      </c>
      <c r="S52" s="64">
        <f t="shared" si="5"/>
        <v>7685.5999999999995</v>
      </c>
      <c r="T52" s="64">
        <f t="shared" si="6"/>
        <v>69.599999999999994</v>
      </c>
      <c r="U52" s="64">
        <f t="shared" si="7"/>
        <v>245.79999999999998</v>
      </c>
      <c r="V52" s="64">
        <f t="shared" si="8"/>
        <v>13.5</v>
      </c>
      <c r="W52" s="64">
        <f t="shared" si="9"/>
        <v>7.3</v>
      </c>
      <c r="X52" s="64">
        <f t="shared" si="10"/>
        <v>42.1</v>
      </c>
      <c r="Y52" s="61">
        <f>N52/Constants!$C$14</f>
        <v>1.0375965963358516</v>
      </c>
      <c r="Z52" s="61">
        <f>O52/Constants!$C$15</f>
        <v>0</v>
      </c>
      <c r="AA52" s="61">
        <f>P52/Constants!$C$3</f>
        <v>70.884263114071615</v>
      </c>
      <c r="AB52" s="61">
        <f>Q52/Constants!$C$4</f>
        <v>1.4821814254859613</v>
      </c>
      <c r="AC52" s="61">
        <f>R52/Constants!$C$5</f>
        <v>0.6151401657019635</v>
      </c>
      <c r="AD52" s="61">
        <f>S52/Constants!$C$6</f>
        <v>87.227329474520474</v>
      </c>
      <c r="AE52" s="61">
        <f>T52/Constants!$C$8</f>
        <v>0.68148438264956424</v>
      </c>
      <c r="AF52" s="61">
        <f>U52/Constants!$C$10</f>
        <v>2.1160468319559227</v>
      </c>
      <c r="AG52" s="61">
        <f>V52/Constants!$C$12</f>
        <v>0.12967739146722765</v>
      </c>
      <c r="AH52" s="61">
        <f>W52/Constants!$C$11</f>
        <v>8.4794981995586008E-2</v>
      </c>
      <c r="AI52" s="61">
        <f>X52/Constants!$C$13</f>
        <v>0.46736234458259329</v>
      </c>
      <c r="AJ52" s="73">
        <f>Y52*Constants!$D$14</f>
        <v>2.0751931926717031</v>
      </c>
      <c r="AK52" s="73">
        <f>Z52*Constants!$D$15</f>
        <v>0</v>
      </c>
      <c r="AL52" s="73">
        <f>AA52*Constants!$D$3</f>
        <v>141.76852622814323</v>
      </c>
      <c r="AM52" s="73">
        <f>AB52*Constants!$D$4</f>
        <v>4.4465442764578835</v>
      </c>
      <c r="AN52" s="73">
        <f>AC52*Constants!$D$5</f>
        <v>2.460560662807854</v>
      </c>
      <c r="AO52" s="73">
        <f>AD52*Constants!$D$6</f>
        <v>348.90931789808189</v>
      </c>
      <c r="AP52" s="73">
        <f>AE52*Constants!$D$8</f>
        <v>3.4074219132478212</v>
      </c>
      <c r="AQ52" s="73">
        <f>AF52*Constants!$D$10</f>
        <v>12.696280991735536</v>
      </c>
      <c r="AR52" s="73">
        <f>AG52*Constants!$D$12</f>
        <v>0.51870956586891059</v>
      </c>
      <c r="AS52" s="73">
        <f>AH52*Constants!$D$11</f>
        <v>0.33917992798234403</v>
      </c>
      <c r="AT52" s="73">
        <f>AI52*Constants!$D$13</f>
        <v>1.40208703374778</v>
      </c>
      <c r="AU52" s="73">
        <f t="shared" si="11"/>
        <v>518.02382169074497</v>
      </c>
      <c r="AV52" s="74">
        <f>Y52*Constants!$E$14</f>
        <v>12.451159156030219</v>
      </c>
      <c r="AW52" s="74">
        <f>Z52*Constants!$E$15</f>
        <v>0</v>
      </c>
      <c r="AX52" s="74">
        <f>AA52*Constants!$E$3</f>
        <v>567.07410491257292</v>
      </c>
      <c r="AY52" s="74">
        <f>AB52*Constants!$E$4</f>
        <v>20.750539956803458</v>
      </c>
      <c r="AZ52" s="74">
        <f>AC52*Constants!$E$5</f>
        <v>12.30280331403927</v>
      </c>
      <c r="BA52" s="74">
        <f>AD52*Constants!$E$6</f>
        <v>1744.5465894904096</v>
      </c>
      <c r="BB52" s="74">
        <f>AE52*Constants!$E$8</f>
        <v>17.718593948888671</v>
      </c>
      <c r="BC52" s="74">
        <f>AF52*Constants!$E$10</f>
        <v>67.713498622589526</v>
      </c>
      <c r="BD52" s="74">
        <f>AG52*Constants!$E$12</f>
        <v>2.3341930464100975</v>
      </c>
      <c r="BE52" s="74">
        <f>AH52*Constants!$E$11</f>
        <v>1.5263096759205481</v>
      </c>
      <c r="BF52" s="74">
        <f>AI52*Constants!$E$13</f>
        <v>5.6083481349911199</v>
      </c>
      <c r="BG52" s="74">
        <f t="shared" si="12"/>
        <v>2452.0261402586557</v>
      </c>
      <c r="BH52" s="76">
        <f>N52*Constants!$I$14</f>
        <v>99.424000000000007</v>
      </c>
      <c r="BI52" s="76">
        <f>O52*Constants!$I$15</f>
        <v>0</v>
      </c>
      <c r="BJ52" s="76">
        <f>P52*Constants!$I$3</f>
        <v>4540.3733333333339</v>
      </c>
      <c r="BK52" s="76">
        <f>Q52*Constants!$I$4</f>
        <v>166.18378378378381</v>
      </c>
      <c r="BL52" s="76">
        <f>R52*Constants!$I$5</f>
        <v>98.545454545454547</v>
      </c>
      <c r="BM52" s="76">
        <f>S52*Constants!$I$6</f>
        <v>13973.81818181818</v>
      </c>
      <c r="BN52" s="76">
        <f>T52*Constants!$I$8</f>
        <v>141.92941176470586</v>
      </c>
      <c r="BO52" s="76">
        <f>U52*Constants!$I$10</f>
        <v>542.45517241379309</v>
      </c>
      <c r="BP52" s="72">
        <f>V52*Constants!$I$12</f>
        <v>18.692307692307693</v>
      </c>
      <c r="BQ52" s="72">
        <f>W52*Constants!$I$11</f>
        <v>12.902325581395349</v>
      </c>
      <c r="BR52" s="72">
        <f>X52*Constants!$I$13</f>
        <v>44.906666666666666</v>
      </c>
      <c r="BS52" s="163">
        <f t="shared" si="13"/>
        <v>19639.23063759962</v>
      </c>
    </row>
    <row r="53" spans="1:71">
      <c r="A53" s="143">
        <f>Rawdata!Y55</f>
        <v>110.29652777777665</v>
      </c>
      <c r="B53" s="59">
        <v>30</v>
      </c>
      <c r="C53" s="60">
        <v>1.47</v>
      </c>
      <c r="D53" s="60" t="s">
        <v>188</v>
      </c>
      <c r="E53" s="60">
        <v>144.05000000000001</v>
      </c>
      <c r="F53" s="60">
        <v>1.49</v>
      </c>
      <c r="G53" s="60">
        <v>1.98</v>
      </c>
      <c r="H53" s="60">
        <v>274.39</v>
      </c>
      <c r="I53" s="60">
        <v>2.46</v>
      </c>
      <c r="J53" s="60">
        <v>5.44</v>
      </c>
      <c r="K53" s="77">
        <v>2.72</v>
      </c>
      <c r="L53" s="77">
        <v>0.54</v>
      </c>
      <c r="M53" s="77">
        <v>4.29</v>
      </c>
      <c r="N53" s="64">
        <f t="shared" si="0"/>
        <v>44.1</v>
      </c>
      <c r="O53" s="64">
        <f t="shared" si="1"/>
        <v>0</v>
      </c>
      <c r="P53" s="64">
        <f t="shared" si="2"/>
        <v>4321.5</v>
      </c>
      <c r="Q53" s="64">
        <f t="shared" si="3"/>
        <v>44.7</v>
      </c>
      <c r="R53" s="64">
        <f t="shared" si="4"/>
        <v>59.4</v>
      </c>
      <c r="S53" s="64">
        <f t="shared" si="5"/>
        <v>8231.6999999999989</v>
      </c>
      <c r="T53" s="64">
        <f t="shared" si="6"/>
        <v>73.8</v>
      </c>
      <c r="U53" s="64">
        <f t="shared" si="7"/>
        <v>163.20000000000002</v>
      </c>
      <c r="V53" s="64">
        <f t="shared" si="8"/>
        <v>27.200000000000003</v>
      </c>
      <c r="W53" s="64">
        <f t="shared" si="9"/>
        <v>5.4</v>
      </c>
      <c r="X53" s="64">
        <f t="shared" si="10"/>
        <v>42.9</v>
      </c>
      <c r="Y53" s="61">
        <f>N53/Constants!$C$14</f>
        <v>0.95728054180776256</v>
      </c>
      <c r="Z53" s="61">
        <f>O53/Constants!$C$15</f>
        <v>0</v>
      </c>
      <c r="AA53" s="61">
        <f>P53/Constants!$C$3</f>
        <v>71.965029142381354</v>
      </c>
      <c r="AB53" s="61">
        <f>Q53/Constants!$C$4</f>
        <v>0.60340172786177115</v>
      </c>
      <c r="AC53" s="61">
        <f>R53/Constants!$C$5</f>
        <v>0.6741573033707865</v>
      </c>
      <c r="AD53" s="61">
        <f>S53/Constants!$C$6</f>
        <v>93.425263874702068</v>
      </c>
      <c r="AE53" s="61">
        <f>T53/Constants!$C$8</f>
        <v>0.72260844022324489</v>
      </c>
      <c r="AF53" s="61">
        <f>U53/Constants!$C$10</f>
        <v>1.4049586776859506</v>
      </c>
      <c r="AG53" s="61">
        <f>V53/Constants!$C$12</f>
        <v>0.26127592947471051</v>
      </c>
      <c r="AH53" s="61">
        <f>W53/Constants!$C$11</f>
        <v>6.2725055174817052E-2</v>
      </c>
      <c r="AI53" s="61">
        <f>X53/Constants!$C$13</f>
        <v>0.47624333925399642</v>
      </c>
      <c r="AJ53" s="73">
        <f>Y53*Constants!$D$14</f>
        <v>1.9145610836155251</v>
      </c>
      <c r="AK53" s="73">
        <f>Z53*Constants!$D$15</f>
        <v>0</v>
      </c>
      <c r="AL53" s="73">
        <f>AA53*Constants!$D$3</f>
        <v>143.93005828476271</v>
      </c>
      <c r="AM53" s="73">
        <f>AB53*Constants!$D$4</f>
        <v>1.8102051835853135</v>
      </c>
      <c r="AN53" s="73">
        <f>AC53*Constants!$D$5</f>
        <v>2.696629213483146</v>
      </c>
      <c r="AO53" s="73">
        <f>AD53*Constants!$D$6</f>
        <v>373.70105549880827</v>
      </c>
      <c r="AP53" s="73">
        <f>AE53*Constants!$D$8</f>
        <v>3.6130422011162242</v>
      </c>
      <c r="AQ53" s="73">
        <f>AF53*Constants!$D$10</f>
        <v>8.4297520661157037</v>
      </c>
      <c r="AR53" s="73">
        <f>AG53*Constants!$D$12</f>
        <v>1.045103717898842</v>
      </c>
      <c r="AS53" s="73">
        <f>AH53*Constants!$D$11</f>
        <v>0.25090022069926821</v>
      </c>
      <c r="AT53" s="73">
        <f>AI53*Constants!$D$13</f>
        <v>1.4287300177619893</v>
      </c>
      <c r="AU53" s="73">
        <f t="shared" si="11"/>
        <v>538.82003748784689</v>
      </c>
      <c r="AV53" s="74">
        <f>Y53*Constants!$E$14</f>
        <v>11.487366501693151</v>
      </c>
      <c r="AW53" s="74">
        <f>Z53*Constants!$E$15</f>
        <v>0</v>
      </c>
      <c r="AX53" s="74">
        <f>AA53*Constants!$E$3</f>
        <v>575.72023313905083</v>
      </c>
      <c r="AY53" s="74">
        <f>AB53*Constants!$E$4</f>
        <v>8.447624190064797</v>
      </c>
      <c r="AZ53" s="74">
        <f>AC53*Constants!$E$5</f>
        <v>13.48314606741573</v>
      </c>
      <c r="BA53" s="74">
        <f>AD53*Constants!$E$6</f>
        <v>1868.5052774940414</v>
      </c>
      <c r="BB53" s="74">
        <f>AE53*Constants!$E$8</f>
        <v>18.787819445804367</v>
      </c>
      <c r="BC53" s="74">
        <f>AF53*Constants!$E$10</f>
        <v>44.95867768595042</v>
      </c>
      <c r="BD53" s="74">
        <f>AG53*Constants!$E$12</f>
        <v>4.7029667305447891</v>
      </c>
      <c r="BE53" s="74">
        <f>AH53*Constants!$E$11</f>
        <v>1.129050993146707</v>
      </c>
      <c r="BF53" s="74">
        <f>AI53*Constants!$E$13</f>
        <v>5.7149200710479571</v>
      </c>
      <c r="BG53" s="74">
        <f t="shared" si="12"/>
        <v>2552.9370823187601</v>
      </c>
      <c r="BH53" s="76">
        <f>N53*Constants!$I$14</f>
        <v>91.728000000000009</v>
      </c>
      <c r="BI53" s="76">
        <f>O53*Constants!$I$15</f>
        <v>0</v>
      </c>
      <c r="BJ53" s="76">
        <f>P53*Constants!$I$3</f>
        <v>4609.6000000000004</v>
      </c>
      <c r="BK53" s="76">
        <f>Q53*Constants!$I$4</f>
        <v>67.654054054054058</v>
      </c>
      <c r="BL53" s="76">
        <f>R53*Constants!$I$5</f>
        <v>108</v>
      </c>
      <c r="BM53" s="76">
        <f>S53*Constants!$I$6</f>
        <v>14966.72727272727</v>
      </c>
      <c r="BN53" s="76">
        <f>T53*Constants!$I$8</f>
        <v>150.4941176470588</v>
      </c>
      <c r="BO53" s="76">
        <f>U53*Constants!$I$10</f>
        <v>360.16551724137935</v>
      </c>
      <c r="BP53" s="72">
        <f>V53*Constants!$I$12</f>
        <v>37.661538461538463</v>
      </c>
      <c r="BQ53" s="72">
        <f>W53*Constants!$I$11</f>
        <v>9.5441860465116282</v>
      </c>
      <c r="BR53" s="72">
        <f>X53*Constants!$I$13</f>
        <v>45.76</v>
      </c>
      <c r="BS53" s="163">
        <f t="shared" si="13"/>
        <v>20447.334686177815</v>
      </c>
    </row>
    <row r="54" spans="1:71">
      <c r="A54" s="143">
        <f>Rawdata!Y56</f>
        <v>112.15347222222044</v>
      </c>
      <c r="B54" s="59">
        <v>20</v>
      </c>
      <c r="C54" s="60">
        <v>3.28</v>
      </c>
      <c r="D54" s="60">
        <v>0.48</v>
      </c>
      <c r="E54" s="60">
        <v>206.14</v>
      </c>
      <c r="F54" s="60">
        <v>5.59</v>
      </c>
      <c r="G54" s="60">
        <v>2.34</v>
      </c>
      <c r="H54" s="60">
        <v>404.2</v>
      </c>
      <c r="I54" s="60">
        <v>3.83</v>
      </c>
      <c r="J54" s="60">
        <v>6.33</v>
      </c>
      <c r="K54" s="77">
        <v>2.48</v>
      </c>
      <c r="L54" s="77">
        <v>0.38</v>
      </c>
      <c r="M54" s="77">
        <v>4.3899999999999997</v>
      </c>
      <c r="N54" s="64">
        <f t="shared" si="0"/>
        <v>65.599999999999994</v>
      </c>
      <c r="O54" s="64">
        <f t="shared" si="1"/>
        <v>9.6</v>
      </c>
      <c r="P54" s="64">
        <f t="shared" si="2"/>
        <v>4122.7999999999993</v>
      </c>
      <c r="Q54" s="64">
        <f t="shared" si="3"/>
        <v>111.8</v>
      </c>
      <c r="R54" s="64">
        <f t="shared" si="4"/>
        <v>46.8</v>
      </c>
      <c r="S54" s="64">
        <f t="shared" si="5"/>
        <v>8084</v>
      </c>
      <c r="T54" s="64">
        <f t="shared" si="6"/>
        <v>76.599999999999994</v>
      </c>
      <c r="U54" s="64">
        <f t="shared" si="7"/>
        <v>126.6</v>
      </c>
      <c r="V54" s="64">
        <f t="shared" si="8"/>
        <v>24.8</v>
      </c>
      <c r="W54" s="64">
        <f t="shared" si="9"/>
        <v>3.8</v>
      </c>
      <c r="X54" s="64">
        <f t="shared" si="10"/>
        <v>43.9</v>
      </c>
      <c r="Y54" s="61">
        <f>N54/Constants!$C$14</f>
        <v>1.4239819397412521</v>
      </c>
      <c r="Z54" s="61">
        <f>O54/Constants!$C$15</f>
        <v>0.12951969778737182</v>
      </c>
      <c r="AA54" s="61">
        <f>P54/Constants!$C$3</f>
        <v>68.656119900083254</v>
      </c>
      <c r="AB54" s="61">
        <f>Q54/Constants!$C$4</f>
        <v>1.5091792656587473</v>
      </c>
      <c r="AC54" s="61">
        <f>R54/Constants!$C$5</f>
        <v>0.5311542390194075</v>
      </c>
      <c r="AD54" s="61">
        <f>S54/Constants!$C$6</f>
        <v>91.748950175916463</v>
      </c>
      <c r="AE54" s="61">
        <f>T54/Constants!$C$8</f>
        <v>0.75002447860569865</v>
      </c>
      <c r="AF54" s="61">
        <f>U54/Constants!$C$10</f>
        <v>1.0898760330578512</v>
      </c>
      <c r="AG54" s="61">
        <f>V54/Constants!$C$12</f>
        <v>0.23822217099164783</v>
      </c>
      <c r="AH54" s="61">
        <f>W54/Constants!$C$11</f>
        <v>4.413985364153792E-2</v>
      </c>
      <c r="AI54" s="61">
        <f>X54/Constants!$C$13</f>
        <v>0.48734458259325042</v>
      </c>
      <c r="AJ54" s="73">
        <f>Y54*Constants!$D$14</f>
        <v>2.8479638794825042</v>
      </c>
      <c r="AK54" s="73">
        <f>Z54*Constants!$D$15</f>
        <v>0.51807879114948729</v>
      </c>
      <c r="AL54" s="73">
        <f>AA54*Constants!$D$3</f>
        <v>137.31223980016651</v>
      </c>
      <c r="AM54" s="73">
        <f>AB54*Constants!$D$4</f>
        <v>4.527537796976242</v>
      </c>
      <c r="AN54" s="73">
        <f>AC54*Constants!$D$5</f>
        <v>2.12461695607763</v>
      </c>
      <c r="AO54" s="73">
        <f>AD54*Constants!$D$6</f>
        <v>366.99580070366585</v>
      </c>
      <c r="AP54" s="73">
        <f>AE54*Constants!$D$8</f>
        <v>3.7501223930284935</v>
      </c>
      <c r="AQ54" s="73">
        <f>AF54*Constants!$D$10</f>
        <v>6.5392561983471076</v>
      </c>
      <c r="AR54" s="73">
        <f>AG54*Constants!$D$12</f>
        <v>0.95288868396659132</v>
      </c>
      <c r="AS54" s="73">
        <f>AH54*Constants!$D$11</f>
        <v>0.17655941456615168</v>
      </c>
      <c r="AT54" s="73">
        <f>AI54*Constants!$D$13</f>
        <v>1.4620337477797514</v>
      </c>
      <c r="AU54" s="73">
        <f t="shared" si="11"/>
        <v>527.20709836520621</v>
      </c>
      <c r="AV54" s="74">
        <f>Y54*Constants!$E$14</f>
        <v>17.087783276895024</v>
      </c>
      <c r="AW54" s="74">
        <f>Z54*Constants!$E$15</f>
        <v>3.1084727468969238</v>
      </c>
      <c r="AX54" s="74">
        <f>AA54*Constants!$E$3</f>
        <v>549.24895920066604</v>
      </c>
      <c r="AY54" s="74">
        <f>AB54*Constants!$E$4</f>
        <v>21.12850971922246</v>
      </c>
      <c r="AZ54" s="74">
        <f>AC54*Constants!$E$5</f>
        <v>10.623084780388151</v>
      </c>
      <c r="BA54" s="74">
        <f>AD54*Constants!$E$6</f>
        <v>1834.9790035183291</v>
      </c>
      <c r="BB54" s="74">
        <f>AE54*Constants!$E$8</f>
        <v>19.500636443748164</v>
      </c>
      <c r="BC54" s="74">
        <f>AF54*Constants!$E$10</f>
        <v>34.876033057851238</v>
      </c>
      <c r="BD54" s="74">
        <f>AG54*Constants!$E$12</f>
        <v>4.2879990778496611</v>
      </c>
      <c r="BE54" s="74">
        <f>AH54*Constants!$E$11</f>
        <v>0.7945173655476826</v>
      </c>
      <c r="BF54" s="74">
        <f>AI54*Constants!$E$13</f>
        <v>5.8481349911190055</v>
      </c>
      <c r="BG54" s="74">
        <f t="shared" si="12"/>
        <v>2501.4831341785134</v>
      </c>
      <c r="BH54" s="76">
        <f>N54*Constants!$I$14</f>
        <v>136.44799999999998</v>
      </c>
      <c r="BI54" s="76">
        <f>O54*Constants!$I$15</f>
        <v>24.908108108108109</v>
      </c>
      <c r="BJ54" s="76">
        <f>P54*Constants!$I$3</f>
        <v>4397.6533333333327</v>
      </c>
      <c r="BK54" s="76">
        <f>Q54*Constants!$I$4</f>
        <v>169.21081081081081</v>
      </c>
      <c r="BL54" s="76">
        <f>R54*Constants!$I$5</f>
        <v>85.090909090909079</v>
      </c>
      <c r="BM54" s="76">
        <f>S54*Constants!$I$6</f>
        <v>14698.181818181818</v>
      </c>
      <c r="BN54" s="76">
        <f>T54*Constants!$I$8</f>
        <v>156.20392156862744</v>
      </c>
      <c r="BO54" s="76">
        <f>U54*Constants!$I$10</f>
        <v>279.39310344827584</v>
      </c>
      <c r="BP54" s="72">
        <f>V54*Constants!$I$12</f>
        <v>34.338461538461537</v>
      </c>
      <c r="BQ54" s="72">
        <f>W54*Constants!$I$11</f>
        <v>6.7162790697674417</v>
      </c>
      <c r="BR54" s="72">
        <f>X54*Constants!$I$13</f>
        <v>46.826666666666668</v>
      </c>
      <c r="BS54" s="163">
        <f>SUM(BH54:BR54)</f>
        <v>20034.971411816776</v>
      </c>
    </row>
    <row r="55" spans="1:71">
      <c r="A55" s="143">
        <f>Rawdata!Y57</f>
        <v>113.1916666666657</v>
      </c>
      <c r="B55" s="59">
        <v>20</v>
      </c>
      <c r="C55" s="60">
        <v>2.92</v>
      </c>
      <c r="D55" s="60">
        <v>0.52</v>
      </c>
      <c r="E55" s="60">
        <v>204.57</v>
      </c>
      <c r="F55" s="60">
        <v>4.97</v>
      </c>
      <c r="G55" s="60">
        <v>2</v>
      </c>
      <c r="H55" s="60">
        <v>413.32</v>
      </c>
      <c r="I55" s="60">
        <v>3.44</v>
      </c>
      <c r="J55" s="60">
        <v>5.67</v>
      </c>
      <c r="K55" s="77">
        <v>2.21</v>
      </c>
      <c r="L55" s="77">
        <v>0.23</v>
      </c>
      <c r="M55" s="77">
        <v>4.47</v>
      </c>
      <c r="N55" s="64">
        <f t="shared" si="0"/>
        <v>58.4</v>
      </c>
      <c r="O55" s="64">
        <f t="shared" si="1"/>
        <v>10.4</v>
      </c>
      <c r="P55" s="64">
        <f t="shared" si="2"/>
        <v>4091.3999999999996</v>
      </c>
      <c r="Q55" s="64">
        <f t="shared" si="3"/>
        <v>99.399999999999991</v>
      </c>
      <c r="R55" s="64">
        <f t="shared" si="4"/>
        <v>40</v>
      </c>
      <c r="S55" s="64">
        <f t="shared" si="5"/>
        <v>8266.4</v>
      </c>
      <c r="T55" s="64">
        <f t="shared" si="6"/>
        <v>68.8</v>
      </c>
      <c r="U55" s="64">
        <f t="shared" si="7"/>
        <v>113.4</v>
      </c>
      <c r="V55" s="64">
        <f t="shared" si="8"/>
        <v>22.1</v>
      </c>
      <c r="W55" s="64">
        <f t="shared" si="9"/>
        <v>2.3000000000000003</v>
      </c>
      <c r="X55" s="64">
        <f t="shared" si="10"/>
        <v>44.699999999999996</v>
      </c>
      <c r="Y55" s="61">
        <f>N55/Constants!$C$14</f>
        <v>1.267691239037944</v>
      </c>
      <c r="Z55" s="61">
        <f>O55/Constants!$C$15</f>
        <v>0.14031300593631948</v>
      </c>
      <c r="AA55" s="61">
        <f>P55/Constants!$C$3</f>
        <v>68.133222314737722</v>
      </c>
      <c r="AB55" s="61">
        <f>Q55/Constants!$C$4</f>
        <v>1.3417926565874729</v>
      </c>
      <c r="AC55" s="61">
        <f>R55/Constants!$C$5</f>
        <v>0.45397798206786971</v>
      </c>
      <c r="AD55" s="61">
        <f>S55/Constants!$C$6</f>
        <v>93.819089774145951</v>
      </c>
      <c r="AE55" s="61">
        <f>T55/Constants!$C$8</f>
        <v>0.67365122882600603</v>
      </c>
      <c r="AF55" s="61">
        <f>U55/Constants!$C$10</f>
        <v>0.97623966942148765</v>
      </c>
      <c r="AG55" s="61">
        <f>V55/Constants!$C$12</f>
        <v>0.2122866926982023</v>
      </c>
      <c r="AH55" s="61">
        <f>W55/Constants!$C$11</f>
        <v>2.6716227204088748E-2</v>
      </c>
      <c r="AI55" s="61">
        <f>X55/Constants!$C$13</f>
        <v>0.49622557726465361</v>
      </c>
      <c r="AJ55" s="73">
        <f>Y55*Constants!$D$14</f>
        <v>2.535382478075888</v>
      </c>
      <c r="AK55" s="73">
        <f>Z55*Constants!$D$15</f>
        <v>0.56125202374527794</v>
      </c>
      <c r="AL55" s="73">
        <f>AA55*Constants!$D$3</f>
        <v>136.26644462947544</v>
      </c>
      <c r="AM55" s="73">
        <f>AB55*Constants!$D$4</f>
        <v>4.0253779697624186</v>
      </c>
      <c r="AN55" s="73">
        <f>AC55*Constants!$D$5</f>
        <v>1.8159119282714788</v>
      </c>
      <c r="AO55" s="73">
        <f>AD55*Constants!$D$6</f>
        <v>375.2763590965838</v>
      </c>
      <c r="AP55" s="73">
        <f>AE55*Constants!$D$8</f>
        <v>3.3682561441300303</v>
      </c>
      <c r="AQ55" s="73">
        <f>AF55*Constants!$D$10</f>
        <v>5.8574380165289259</v>
      </c>
      <c r="AR55" s="73">
        <f>AG55*Constants!$D$12</f>
        <v>0.8491467707928092</v>
      </c>
      <c r="AS55" s="73">
        <f>AH55*Constants!$D$11</f>
        <v>0.10686490881635499</v>
      </c>
      <c r="AT55" s="73">
        <f>AI55*Constants!$D$13</f>
        <v>1.4886767317939609</v>
      </c>
      <c r="AU55" s="73">
        <f t="shared" si="11"/>
        <v>532.15111069797626</v>
      </c>
      <c r="AV55" s="74">
        <f>Y55*Constants!$E$14</f>
        <v>15.212294868455327</v>
      </c>
      <c r="AW55" s="74">
        <f>Z55*Constants!$E$15</f>
        <v>3.3675121424716679</v>
      </c>
      <c r="AX55" s="74">
        <f>AA55*Constants!$E$3</f>
        <v>545.06577851790178</v>
      </c>
      <c r="AY55" s="74">
        <f>AB55*Constants!$E$4</f>
        <v>18.785097192224622</v>
      </c>
      <c r="AZ55" s="74">
        <f>AC55*Constants!$E$5</f>
        <v>9.0795596413573936</v>
      </c>
      <c r="BA55" s="74">
        <f>AD55*Constants!$E$6</f>
        <v>1876.381795482919</v>
      </c>
      <c r="BB55" s="74">
        <f>AE55*Constants!$E$8</f>
        <v>17.514931949476157</v>
      </c>
      <c r="BC55" s="74">
        <f>AF55*Constants!$E$10</f>
        <v>31.239669421487605</v>
      </c>
      <c r="BD55" s="74">
        <f>AG55*Constants!$E$12</f>
        <v>3.8211604685676415</v>
      </c>
      <c r="BE55" s="74">
        <f>AH55*Constants!$E$11</f>
        <v>0.48089208967359748</v>
      </c>
      <c r="BF55" s="74">
        <f>AI55*Constants!$E$13</f>
        <v>5.9547069271758435</v>
      </c>
      <c r="BG55" s="74">
        <f t="shared" si="12"/>
        <v>2526.9033987017101</v>
      </c>
      <c r="BH55" s="76">
        <f>N55*Constants!$I$14</f>
        <v>121.47199999999999</v>
      </c>
      <c r="BI55" s="76">
        <f>O55*Constants!$I$15</f>
        <v>26.983783783783785</v>
      </c>
      <c r="BJ55" s="76">
        <f>P55*Constants!$I$3</f>
        <v>4364.16</v>
      </c>
      <c r="BK55" s="76">
        <f>Q55*Constants!$I$4</f>
        <v>150.44324324324324</v>
      </c>
      <c r="BL55" s="76">
        <f>R55*Constants!$I$5</f>
        <v>72.72727272727272</v>
      </c>
      <c r="BM55" s="76">
        <f>S55*Constants!$I$6</f>
        <v>15029.81818181818</v>
      </c>
      <c r="BN55" s="76">
        <f>T55*Constants!$I$8</f>
        <v>140.29803921568626</v>
      </c>
      <c r="BO55" s="76">
        <f>U55*Constants!$I$10</f>
        <v>250.26206896551724</v>
      </c>
      <c r="BP55" s="72">
        <f>V55*Constants!$I$12</f>
        <v>30.6</v>
      </c>
      <c r="BQ55" s="72">
        <f>W55*Constants!$I$11</f>
        <v>4.0651162790697679</v>
      </c>
      <c r="BR55" s="72">
        <f>X55*Constants!$I$13</f>
        <v>47.679999999999993</v>
      </c>
      <c r="BS55" s="71">
        <f t="shared" si="13"/>
        <v>20238.509706032753</v>
      </c>
    </row>
    <row r="56" spans="1:71">
      <c r="A56" s="58">
        <f>Rawdata!Y58</f>
        <v>114.2770833333343</v>
      </c>
      <c r="B56" s="59">
        <v>20</v>
      </c>
      <c r="C56" s="60">
        <v>91.03</v>
      </c>
      <c r="D56" s="60">
        <v>0.66</v>
      </c>
      <c r="E56" s="60">
        <v>200.96</v>
      </c>
      <c r="F56" s="60">
        <v>4.78</v>
      </c>
      <c r="G56" s="60">
        <v>1.66</v>
      </c>
      <c r="H56" s="60">
        <v>396.92</v>
      </c>
      <c r="I56" s="60">
        <v>3.41</v>
      </c>
      <c r="J56" s="60">
        <v>5.03</v>
      </c>
      <c r="K56" s="77">
        <v>1.78</v>
      </c>
      <c r="L56" s="77">
        <v>0.22</v>
      </c>
      <c r="M56" s="77">
        <v>4.49</v>
      </c>
      <c r="N56" s="64">
        <f t="shared" si="0"/>
        <v>1820.6</v>
      </c>
      <c r="O56" s="64">
        <f t="shared" si="1"/>
        <v>13.200000000000001</v>
      </c>
      <c r="P56" s="64">
        <f t="shared" si="2"/>
        <v>4019.2000000000003</v>
      </c>
      <c r="Q56" s="64">
        <f t="shared" si="3"/>
        <v>95.600000000000009</v>
      </c>
      <c r="R56" s="64">
        <f t="shared" si="4"/>
        <v>33.199999999999996</v>
      </c>
      <c r="S56" s="64">
        <f t="shared" si="5"/>
        <v>7938.4000000000005</v>
      </c>
      <c r="T56" s="64">
        <f t="shared" si="6"/>
        <v>68.2</v>
      </c>
      <c r="U56" s="64">
        <f t="shared" si="7"/>
        <v>100.60000000000001</v>
      </c>
      <c r="V56" s="64">
        <f t="shared" si="8"/>
        <v>17.8</v>
      </c>
      <c r="W56" s="64">
        <f t="shared" si="9"/>
        <v>2.2000000000000002</v>
      </c>
      <c r="X56" s="64">
        <f t="shared" si="10"/>
        <v>44.900000000000006</v>
      </c>
      <c r="Y56" s="61">
        <f>N56/Constants!$C$14</f>
        <v>39.519840236172612</v>
      </c>
      <c r="Z56" s="61">
        <f>O56/Constants!$C$15</f>
        <v>0.17808958445763626</v>
      </c>
      <c r="AA56" s="61">
        <f>P56/Constants!$C$3</f>
        <v>66.930890924229814</v>
      </c>
      <c r="AB56" s="61">
        <f>Q56/Constants!$C$4</f>
        <v>1.2904967602591795</v>
      </c>
      <c r="AC56" s="61">
        <f>R56/Constants!$C$5</f>
        <v>0.37680172511633181</v>
      </c>
      <c r="AD56" s="61">
        <f>S56/Constants!$C$6</f>
        <v>90.096470321189429</v>
      </c>
      <c r="AE56" s="61">
        <f>T56/Constants!$C$8</f>
        <v>0.66777636345833746</v>
      </c>
      <c r="AF56" s="61">
        <f>U56/Constants!$C$10</f>
        <v>0.86604683195592291</v>
      </c>
      <c r="AG56" s="61">
        <f>V56/Constants!$C$12</f>
        <v>0.17098204208271497</v>
      </c>
      <c r="AH56" s="61">
        <f>W56/Constants!$C$11</f>
        <v>2.5554652108258798E-2</v>
      </c>
      <c r="AI56" s="61">
        <f>X56/Constants!$C$13</f>
        <v>0.49844582593250453</v>
      </c>
      <c r="AJ56" s="73">
        <f>Y56*Constants!$D$14</f>
        <v>79.039680472345225</v>
      </c>
      <c r="AK56" s="73">
        <f>Z56*Constants!$D$15</f>
        <v>0.71235833783054503</v>
      </c>
      <c r="AL56" s="73">
        <f>AA56*Constants!$D$3</f>
        <v>133.86178184845963</v>
      </c>
      <c r="AM56" s="73">
        <f>AB56*Constants!$D$4</f>
        <v>3.8714902807775387</v>
      </c>
      <c r="AN56" s="73">
        <f>AC56*Constants!$D$5</f>
        <v>1.5072069004653272</v>
      </c>
      <c r="AO56" s="73">
        <f>AD56*Constants!$D$6</f>
        <v>360.38588128475772</v>
      </c>
      <c r="AP56" s="73">
        <f>AE56*Constants!$D$8</f>
        <v>3.3388818172916874</v>
      </c>
      <c r="AQ56" s="73">
        <f>AF56*Constants!$D$10</f>
        <v>5.1962809917355379</v>
      </c>
      <c r="AR56" s="73">
        <f>AG56*Constants!$D$12</f>
        <v>0.6839281683308599</v>
      </c>
      <c r="AS56" s="73">
        <f>AH56*Constants!$D$11</f>
        <v>0.10221860843303519</v>
      </c>
      <c r="AT56" s="73">
        <f>AI56*Constants!$D$13</f>
        <v>1.4953374777975137</v>
      </c>
      <c r="AU56" s="73">
        <f t="shared" si="11"/>
        <v>590.19504618822475</v>
      </c>
      <c r="AV56" s="74">
        <f>Y56*Constants!$E$14</f>
        <v>474.23808283407135</v>
      </c>
      <c r="AW56" s="74">
        <f>Z56*Constants!$E$15</f>
        <v>4.2741500269832704</v>
      </c>
      <c r="AX56" s="74">
        <f>AA56*Constants!$E$3</f>
        <v>535.44712739383851</v>
      </c>
      <c r="AY56" s="74">
        <f>AB56*Constants!$E$4</f>
        <v>18.066954643628513</v>
      </c>
      <c r="AZ56" s="74">
        <f>AC56*Constants!$E$5</f>
        <v>7.5360345023266362</v>
      </c>
      <c r="BA56" s="74">
        <f>AD56*Constants!$E$6</f>
        <v>1801.9294064237886</v>
      </c>
      <c r="BB56" s="74">
        <f>AE56*Constants!$E$8</f>
        <v>17.362185449916772</v>
      </c>
      <c r="BC56" s="74">
        <f>AF56*Constants!$E$10</f>
        <v>27.713498622589533</v>
      </c>
      <c r="BD56" s="74">
        <f>AG56*Constants!$E$12</f>
        <v>3.0776767574888697</v>
      </c>
      <c r="BE56" s="74">
        <f>AH56*Constants!$E$11</f>
        <v>0.45998373794865838</v>
      </c>
      <c r="BF56" s="74">
        <f>AI56*Constants!$E$13</f>
        <v>5.9813499111900548</v>
      </c>
      <c r="BG56" s="74">
        <f t="shared" si="12"/>
        <v>2896.0864503037715</v>
      </c>
      <c r="BH56" s="76">
        <f>N56*Constants!$I$14</f>
        <v>3786.848</v>
      </c>
      <c r="BI56" s="76">
        <f>O56*Constants!$I$15</f>
        <v>34.248648648648654</v>
      </c>
      <c r="BJ56" s="76">
        <f>P56*Constants!$I$3</f>
        <v>4287.1466666666665</v>
      </c>
      <c r="BK56" s="76">
        <f>Q56*Constants!$I$4</f>
        <v>144.69189189189191</v>
      </c>
      <c r="BL56" s="76">
        <f>R56*Constants!$I$5</f>
        <v>60.363636363636353</v>
      </c>
      <c r="BM56" s="76">
        <f>S56*Constants!$I$6</f>
        <v>14433.454545454546</v>
      </c>
      <c r="BN56" s="76">
        <f>T56*Constants!$I$8</f>
        <v>139.07450980392156</v>
      </c>
      <c r="BO56" s="76">
        <f>U56*Constants!$I$10</f>
        <v>222.01379310344828</v>
      </c>
      <c r="BP56" s="72">
        <f>V56*Constants!$I$12</f>
        <v>24.646153846153847</v>
      </c>
      <c r="BQ56" s="72">
        <f>W56*Constants!$I$11</f>
        <v>3.8883720930232561</v>
      </c>
      <c r="BR56" s="72">
        <f>X56*Constants!$I$13</f>
        <v>47.893333333333338</v>
      </c>
      <c r="BS56" s="71">
        <f t="shared" si="13"/>
        <v>23184.269551205274</v>
      </c>
    </row>
    <row r="57" spans="1:71">
      <c r="A57" s="58">
        <f>Rawdata!Y59</f>
        <v>117.28819444444525</v>
      </c>
      <c r="B57" s="59">
        <v>20</v>
      </c>
      <c r="C57" s="60">
        <v>220.21</v>
      </c>
      <c r="D57" s="60">
        <v>1.64</v>
      </c>
      <c r="E57" s="60">
        <v>202.52</v>
      </c>
      <c r="F57" s="60">
        <v>5.18</v>
      </c>
      <c r="G57" s="60">
        <v>1.19</v>
      </c>
      <c r="H57" s="60">
        <v>395.46</v>
      </c>
      <c r="I57" s="60">
        <v>3.02</v>
      </c>
      <c r="J57" s="60">
        <v>3.11</v>
      </c>
      <c r="K57" s="77">
        <v>2.6</v>
      </c>
      <c r="L57" s="77">
        <v>0.28999999999999998</v>
      </c>
      <c r="M57" s="77">
        <v>4.4000000000000004</v>
      </c>
      <c r="N57" s="64">
        <f t="shared" si="0"/>
        <v>4404.2</v>
      </c>
      <c r="O57" s="64">
        <f t="shared" si="1"/>
        <v>32.799999999999997</v>
      </c>
      <c r="P57" s="64">
        <f t="shared" si="2"/>
        <v>4050.4</v>
      </c>
      <c r="Q57" s="64">
        <f t="shared" si="3"/>
        <v>103.6</v>
      </c>
      <c r="R57" s="64">
        <f t="shared" si="4"/>
        <v>23.799999999999997</v>
      </c>
      <c r="S57" s="64">
        <f t="shared" si="5"/>
        <v>7909.2</v>
      </c>
      <c r="T57" s="64">
        <f t="shared" si="6"/>
        <v>60.4</v>
      </c>
      <c r="U57" s="64">
        <f t="shared" si="7"/>
        <v>62.199999999999996</v>
      </c>
      <c r="V57" s="64">
        <f t="shared" si="8"/>
        <v>26</v>
      </c>
      <c r="W57" s="64">
        <f t="shared" si="9"/>
        <v>2.9</v>
      </c>
      <c r="X57" s="64">
        <f t="shared" si="10"/>
        <v>44</v>
      </c>
      <c r="Y57" s="61">
        <f>N57/Constants!$C$14</f>
        <v>95.602153338543019</v>
      </c>
      <c r="Z57" s="61">
        <f>O57/Constants!$C$15</f>
        <v>0.44252563410685369</v>
      </c>
      <c r="AA57" s="61">
        <f>P57/Constants!$C$3</f>
        <v>67.450457951706909</v>
      </c>
      <c r="AB57" s="61">
        <f>Q57/Constants!$C$4</f>
        <v>1.3984881209503239</v>
      </c>
      <c r="AC57" s="61">
        <f>R57/Constants!$C$5</f>
        <v>0.27011689933038247</v>
      </c>
      <c r="AD57" s="61">
        <f>S57/Constants!$C$6</f>
        <v>89.76506639427987</v>
      </c>
      <c r="AE57" s="61">
        <f>T57/Constants!$C$8</f>
        <v>0.59140311367864484</v>
      </c>
      <c r="AF57" s="61">
        <f>U57/Constants!$C$10</f>
        <v>0.53546831955922858</v>
      </c>
      <c r="AG57" s="61">
        <f>V57/Constants!$C$12</f>
        <v>0.24974905023317917</v>
      </c>
      <c r="AH57" s="61">
        <f>W57/Constants!$C$11</f>
        <v>3.3685677779068411E-2</v>
      </c>
      <c r="AI57" s="61">
        <f>X57/Constants!$C$13</f>
        <v>0.48845470692717585</v>
      </c>
      <c r="AJ57" s="73">
        <f>Y57*Constants!$D$14</f>
        <v>191.20430667708604</v>
      </c>
      <c r="AK57" s="73">
        <f>Z57*Constants!$D$15</f>
        <v>1.7701025364274148</v>
      </c>
      <c r="AL57" s="73">
        <f>AA57*Constants!$D$3</f>
        <v>134.90091590341382</v>
      </c>
      <c r="AM57" s="73">
        <f>AB57*Constants!$D$4</f>
        <v>4.1954643628509718</v>
      </c>
      <c r="AN57" s="73">
        <f>AC57*Constants!$D$5</f>
        <v>1.0804675973215299</v>
      </c>
      <c r="AO57" s="73">
        <f>AD57*Constants!$D$6</f>
        <v>359.06026557711948</v>
      </c>
      <c r="AP57" s="73">
        <f>AE57*Constants!$D$8</f>
        <v>2.9570155683932242</v>
      </c>
      <c r="AQ57" s="73">
        <f>AF57*Constants!$D$10</f>
        <v>3.2128099173553712</v>
      </c>
      <c r="AR57" s="73">
        <f>AG57*Constants!$D$12</f>
        <v>0.99899620093271668</v>
      </c>
      <c r="AS57" s="73">
        <f>AH57*Constants!$D$11</f>
        <v>0.13474271111627364</v>
      </c>
      <c r="AT57" s="73">
        <f>AI57*Constants!$D$13</f>
        <v>1.4653641207815276</v>
      </c>
      <c r="AU57" s="73">
        <f t="shared" si="11"/>
        <v>700.98045117279833</v>
      </c>
      <c r="AV57" s="74">
        <f>Y57*Constants!$E$14</f>
        <v>1147.2258400625162</v>
      </c>
      <c r="AW57" s="74">
        <f>Z57*Constants!$E$15</f>
        <v>10.620615218564488</v>
      </c>
      <c r="AX57" s="74">
        <f>AA57*Constants!$E$3</f>
        <v>539.60366361365527</v>
      </c>
      <c r="AY57" s="74">
        <f>AB57*Constants!$E$4</f>
        <v>19.578833693304535</v>
      </c>
      <c r="AZ57" s="74">
        <f>AC57*Constants!$E$5</f>
        <v>5.4023379866076491</v>
      </c>
      <c r="BA57" s="74">
        <f>AD57*Constants!$E$6</f>
        <v>1795.3013278855974</v>
      </c>
      <c r="BB57" s="74">
        <f>AE57*Constants!$E$8</f>
        <v>15.376480955644766</v>
      </c>
      <c r="BC57" s="74">
        <f>AF57*Constants!$E$10</f>
        <v>17.134986225895315</v>
      </c>
      <c r="BD57" s="74">
        <f>AG57*Constants!$E$12</f>
        <v>4.4954829041972246</v>
      </c>
      <c r="BE57" s="74">
        <f>AH57*Constants!$E$11</f>
        <v>0.60634220002323136</v>
      </c>
      <c r="BF57" s="74">
        <f>AI57*Constants!$E$13</f>
        <v>5.8614564831261102</v>
      </c>
      <c r="BG57" s="74">
        <f t="shared" si="12"/>
        <v>3561.2073672291317</v>
      </c>
      <c r="BH57" s="76">
        <f>N57*Constants!$I$14</f>
        <v>9160.7360000000008</v>
      </c>
      <c r="BI57" s="76">
        <f>O57*Constants!$I$15</f>
        <v>85.1027027027027</v>
      </c>
      <c r="BJ57" s="76">
        <f>P57*Constants!$I$3</f>
        <v>4320.4266666666663</v>
      </c>
      <c r="BK57" s="76">
        <f>Q57*Constants!$I$4</f>
        <v>156.80000000000001</v>
      </c>
      <c r="BL57" s="76">
        <f>R57*Constants!$I$5</f>
        <v>43.272727272727266</v>
      </c>
      <c r="BM57" s="76">
        <f>S57*Constants!$I$6</f>
        <v>14380.363636363636</v>
      </c>
      <c r="BN57" s="76">
        <f>T57*Constants!$I$8</f>
        <v>123.16862745098038</v>
      </c>
      <c r="BO57" s="76">
        <f>U57*Constants!$I$10</f>
        <v>137.26896551724136</v>
      </c>
      <c r="BP57" s="72">
        <f>V57*Constants!$I$12</f>
        <v>36</v>
      </c>
      <c r="BQ57" s="72">
        <f>W57*Constants!$I$11</f>
        <v>5.1255813953488367</v>
      </c>
      <c r="BR57" s="72">
        <f>X57*Constants!$I$13</f>
        <v>46.93333333333333</v>
      </c>
      <c r="BS57" s="71">
        <f t="shared" si="13"/>
        <v>28495.198240702641</v>
      </c>
    </row>
    <row r="58" spans="1:71">
      <c r="A58" s="58">
        <f>Rawdata!Y60</f>
        <v>119.18194444444816</v>
      </c>
      <c r="B58" s="59">
        <v>20</v>
      </c>
      <c r="C58" s="60">
        <v>217.52</v>
      </c>
      <c r="D58" s="60">
        <v>2.34</v>
      </c>
      <c r="E58" s="60">
        <v>173.84</v>
      </c>
      <c r="F58" s="60">
        <v>5.59</v>
      </c>
      <c r="G58" s="60">
        <v>1.01</v>
      </c>
      <c r="H58" s="60">
        <v>457.67</v>
      </c>
      <c r="I58" s="60">
        <v>3.19</v>
      </c>
      <c r="J58" s="60">
        <v>3.27</v>
      </c>
      <c r="K58" s="77">
        <v>2.4900000000000002</v>
      </c>
      <c r="L58" s="77">
        <v>0.51</v>
      </c>
      <c r="M58" s="77">
        <v>4.3</v>
      </c>
      <c r="N58" s="64">
        <f t="shared" si="0"/>
        <v>4350.4000000000005</v>
      </c>
      <c r="O58" s="64">
        <f t="shared" si="1"/>
        <v>46.8</v>
      </c>
      <c r="P58" s="64">
        <f t="shared" si="2"/>
        <v>3476.8</v>
      </c>
      <c r="Q58" s="64">
        <f t="shared" si="3"/>
        <v>111.8</v>
      </c>
      <c r="R58" s="64">
        <f t="shared" si="4"/>
        <v>20.2</v>
      </c>
      <c r="S58" s="64">
        <f t="shared" si="5"/>
        <v>9153.4</v>
      </c>
      <c r="T58" s="64">
        <f t="shared" si="6"/>
        <v>63.8</v>
      </c>
      <c r="U58" s="64">
        <f t="shared" si="7"/>
        <v>65.400000000000006</v>
      </c>
      <c r="V58" s="64">
        <f t="shared" si="8"/>
        <v>24.900000000000002</v>
      </c>
      <c r="W58" s="64">
        <f t="shared" si="9"/>
        <v>5.0999999999999996</v>
      </c>
      <c r="X58" s="64">
        <f t="shared" si="10"/>
        <v>43</v>
      </c>
      <c r="Y58" s="61">
        <f>N58/Constants!$C$14</f>
        <v>94.434314491621095</v>
      </c>
      <c r="Z58" s="61">
        <f>O58/Constants!$C$15</f>
        <v>0.63140852671343761</v>
      </c>
      <c r="AA58" s="61">
        <f>P58/Constants!$C$3</f>
        <v>57.898417985012493</v>
      </c>
      <c r="AB58" s="61">
        <f>Q58/Constants!$C$4</f>
        <v>1.5091792656587473</v>
      </c>
      <c r="AC58" s="61">
        <f>R58/Constants!$C$5</f>
        <v>0.22925888094427418</v>
      </c>
      <c r="AD58" s="61">
        <f>S58/Constants!$C$6</f>
        <v>103.88605152650096</v>
      </c>
      <c r="AE58" s="61">
        <f>T58/Constants!$C$8</f>
        <v>0.62469401742876729</v>
      </c>
      <c r="AF58" s="61">
        <f>U58/Constants!$C$10</f>
        <v>0.56301652892561993</v>
      </c>
      <c r="AG58" s="61">
        <f>V58/Constants!$C$12</f>
        <v>0.23918274426177544</v>
      </c>
      <c r="AH58" s="61">
        <f>W58/Constants!$C$11</f>
        <v>5.9240329887327206E-2</v>
      </c>
      <c r="AI58" s="61">
        <f>X58/Constants!$C$13</f>
        <v>0.47735346358792186</v>
      </c>
      <c r="AJ58" s="73">
        <f>Y58*Constants!$D$14</f>
        <v>188.86862898324219</v>
      </c>
      <c r="AK58" s="73">
        <f>Z58*Constants!$D$15</f>
        <v>2.5256341068537504</v>
      </c>
      <c r="AL58" s="73">
        <f>AA58*Constants!$D$3</f>
        <v>115.79683597002499</v>
      </c>
      <c r="AM58" s="73">
        <f>AB58*Constants!$D$4</f>
        <v>4.527537796976242</v>
      </c>
      <c r="AN58" s="73">
        <f>AC58*Constants!$D$5</f>
        <v>0.91703552377709674</v>
      </c>
      <c r="AO58" s="73">
        <f>AD58*Constants!$D$6</f>
        <v>415.54420610600386</v>
      </c>
      <c r="AP58" s="73">
        <f>AE58*Constants!$D$8</f>
        <v>3.1234700871438363</v>
      </c>
      <c r="AQ58" s="73">
        <f>AF58*Constants!$D$10</f>
        <v>3.3780991735537196</v>
      </c>
      <c r="AR58" s="73">
        <f>AG58*Constants!$D$12</f>
        <v>0.95673097704710175</v>
      </c>
      <c r="AS58" s="73">
        <f>AH58*Constants!$D$11</f>
        <v>0.23696131954930882</v>
      </c>
      <c r="AT58" s="73">
        <f>AI58*Constants!$D$13</f>
        <v>1.4320603907637657</v>
      </c>
      <c r="AU58" s="73">
        <f t="shared" si="11"/>
        <v>737.30720043493579</v>
      </c>
      <c r="AV58" s="74">
        <f>Y58*Constants!$E$14</f>
        <v>1133.2117738994532</v>
      </c>
      <c r="AW58" s="74">
        <f>Z58*Constants!$E$15</f>
        <v>15.153804641122502</v>
      </c>
      <c r="AX58" s="74">
        <f>AA58*Constants!$E$3</f>
        <v>463.18734388009995</v>
      </c>
      <c r="AY58" s="74">
        <f>AB58*Constants!$E$4</f>
        <v>21.12850971922246</v>
      </c>
      <c r="AZ58" s="74">
        <f>AC58*Constants!$E$5</f>
        <v>4.585177618885484</v>
      </c>
      <c r="BA58" s="74">
        <f>AD58*Constants!$E$6</f>
        <v>2077.7210305300191</v>
      </c>
      <c r="BB58" s="74">
        <f>AE58*Constants!$E$8</f>
        <v>16.242044453147951</v>
      </c>
      <c r="BC58" s="74">
        <f>AF58*Constants!$E$10</f>
        <v>18.016528925619838</v>
      </c>
      <c r="BD58" s="74">
        <f>AG58*Constants!$E$12</f>
        <v>4.3052893967119577</v>
      </c>
      <c r="BE58" s="74">
        <f>AH58*Constants!$E$11</f>
        <v>1.0663259379718897</v>
      </c>
      <c r="BF58" s="74">
        <f>AI58*Constants!$E$13</f>
        <v>5.7282415630550627</v>
      </c>
      <c r="BG58" s="74">
        <f t="shared" si="12"/>
        <v>3760.3460705653088</v>
      </c>
      <c r="BH58" s="76">
        <f>N58*Constants!$I$14</f>
        <v>9048.8320000000022</v>
      </c>
      <c r="BI58" s="76">
        <f>O58*Constants!$I$15</f>
        <v>121.42702702702702</v>
      </c>
      <c r="BJ58" s="76">
        <f>P58*Constants!$I$3</f>
        <v>3708.5866666666666</v>
      </c>
      <c r="BK58" s="76">
        <f>Q58*Constants!$I$4</f>
        <v>169.21081081081081</v>
      </c>
      <c r="BL58" s="76">
        <f>R58*Constants!$I$5</f>
        <v>36.727272727272727</v>
      </c>
      <c r="BM58" s="76">
        <f>S58*Constants!$I$6</f>
        <v>16642.545454545452</v>
      </c>
      <c r="BN58" s="76">
        <f>T58*Constants!$I$8</f>
        <v>130.10196078431372</v>
      </c>
      <c r="BO58" s="76">
        <f>U58*Constants!$I$10</f>
        <v>144.33103448275864</v>
      </c>
      <c r="BP58" s="72">
        <f>V58*Constants!$I$12</f>
        <v>34.476923076923079</v>
      </c>
      <c r="BQ58" s="72">
        <f>W58*Constants!$I$11</f>
        <v>9.013953488372092</v>
      </c>
      <c r="BR58" s="72">
        <f>X58*Constants!$I$13</f>
        <v>45.866666666666667</v>
      </c>
      <c r="BS58" s="71">
        <f t="shared" si="13"/>
        <v>30091.119770276262</v>
      </c>
    </row>
    <row r="59" spans="1:71">
      <c r="A59" s="58">
        <f>Rawdata!Y61</f>
        <v>121.20138888889051</v>
      </c>
      <c r="B59" s="59">
        <v>20</v>
      </c>
      <c r="C59" s="60">
        <v>212.84</v>
      </c>
      <c r="D59" s="60">
        <v>3.25</v>
      </c>
      <c r="E59" s="60">
        <v>136.44</v>
      </c>
      <c r="F59" s="60">
        <v>4.16</v>
      </c>
      <c r="G59" s="60">
        <v>1.01</v>
      </c>
      <c r="H59" s="60">
        <v>498.48</v>
      </c>
      <c r="I59" s="60">
        <v>2.82</v>
      </c>
      <c r="J59" s="60">
        <v>3.65</v>
      </c>
      <c r="K59" s="77">
        <v>2.6</v>
      </c>
      <c r="L59" s="77">
        <v>0.64</v>
      </c>
      <c r="M59" s="77">
        <v>4.2</v>
      </c>
      <c r="N59" s="64">
        <f t="shared" si="0"/>
        <v>4256.8</v>
      </c>
      <c r="O59" s="64">
        <f t="shared" si="1"/>
        <v>65</v>
      </c>
      <c r="P59" s="64">
        <f t="shared" si="2"/>
        <v>2728.8</v>
      </c>
      <c r="Q59" s="64">
        <f t="shared" si="3"/>
        <v>83.2</v>
      </c>
      <c r="R59" s="64">
        <f t="shared" si="4"/>
        <v>20.2</v>
      </c>
      <c r="S59" s="64">
        <f t="shared" si="5"/>
        <v>9969.6</v>
      </c>
      <c r="T59" s="64">
        <f t="shared" si="6"/>
        <v>56.4</v>
      </c>
      <c r="U59" s="64">
        <f t="shared" si="7"/>
        <v>73</v>
      </c>
      <c r="V59" s="64">
        <f t="shared" si="8"/>
        <v>26</v>
      </c>
      <c r="W59" s="64">
        <f t="shared" si="9"/>
        <v>6.4</v>
      </c>
      <c r="X59" s="64">
        <f t="shared" si="10"/>
        <v>42</v>
      </c>
      <c r="Y59" s="61">
        <f>N59/Constants!$C$14</f>
        <v>92.402535382478078</v>
      </c>
      <c r="Z59" s="61">
        <f>O59/Constants!$C$15</f>
        <v>0.87695628710199669</v>
      </c>
      <c r="AA59" s="61">
        <f>P59/Constants!$C$3</f>
        <v>45.442131557035808</v>
      </c>
      <c r="AB59" s="61">
        <f>Q59/Constants!$C$4</f>
        <v>1.1231101511879051</v>
      </c>
      <c r="AC59" s="61">
        <f>R59/Constants!$C$5</f>
        <v>0.22925888094427418</v>
      </c>
      <c r="AD59" s="61">
        <f>S59/Constants!$C$6</f>
        <v>113.14947225059585</v>
      </c>
      <c r="AE59" s="61">
        <f>T59/Constants!$C$8</f>
        <v>0.55223734456085383</v>
      </c>
      <c r="AF59" s="61">
        <f>U59/Constants!$C$10</f>
        <v>0.62844352617079891</v>
      </c>
      <c r="AG59" s="61">
        <f>V59/Constants!$C$12</f>
        <v>0.24974905023317917</v>
      </c>
      <c r="AH59" s="61">
        <f>W59/Constants!$C$11</f>
        <v>7.4340806133116513E-2</v>
      </c>
      <c r="AI59" s="61">
        <f>X59/Constants!$C$13</f>
        <v>0.46625222024866786</v>
      </c>
      <c r="AJ59" s="73">
        <f>Y59*Constants!$D$14</f>
        <v>184.80507076495616</v>
      </c>
      <c r="AK59" s="73">
        <f>Z59*Constants!$D$15</f>
        <v>3.5078251484079868</v>
      </c>
      <c r="AL59" s="73">
        <f>AA59*Constants!$D$3</f>
        <v>90.884263114071615</v>
      </c>
      <c r="AM59" s="73">
        <f>AB59*Constants!$D$4</f>
        <v>3.3693304535637152</v>
      </c>
      <c r="AN59" s="73">
        <f>AC59*Constants!$D$5</f>
        <v>0.91703552377709674</v>
      </c>
      <c r="AO59" s="73">
        <f>AD59*Constants!$D$6</f>
        <v>452.5978890023834</v>
      </c>
      <c r="AP59" s="73">
        <f>AE59*Constants!$D$8</f>
        <v>2.7611867228042692</v>
      </c>
      <c r="AQ59" s="73">
        <f>AF59*Constants!$D$10</f>
        <v>3.7706611570247937</v>
      </c>
      <c r="AR59" s="73">
        <f>AG59*Constants!$D$12</f>
        <v>0.99899620093271668</v>
      </c>
      <c r="AS59" s="73">
        <f>AH59*Constants!$D$11</f>
        <v>0.29736322453246605</v>
      </c>
      <c r="AT59" s="73">
        <f>AI59*Constants!$D$13</f>
        <v>1.3987566607460036</v>
      </c>
      <c r="AU59" s="73">
        <f t="shared" si="11"/>
        <v>745.30837797320032</v>
      </c>
      <c r="AV59" s="74">
        <f>Y59*Constants!$E$14</f>
        <v>1108.830424589737</v>
      </c>
      <c r="AW59" s="74">
        <f>Z59*Constants!$E$15</f>
        <v>21.046950890447921</v>
      </c>
      <c r="AX59" s="74">
        <f>AA59*Constants!$E$3</f>
        <v>363.53705245628646</v>
      </c>
      <c r="AY59" s="74">
        <f>AB59*Constants!$E$4</f>
        <v>15.723542116630671</v>
      </c>
      <c r="AZ59" s="74">
        <f>AC59*Constants!$E$5</f>
        <v>4.585177618885484</v>
      </c>
      <c r="BA59" s="74">
        <f>AD59*Constants!$E$6</f>
        <v>2262.9894450119168</v>
      </c>
      <c r="BB59" s="74">
        <f>AE59*Constants!$E$8</f>
        <v>14.3581709585822</v>
      </c>
      <c r="BC59" s="74">
        <f>AF59*Constants!$E$10</f>
        <v>20.110192837465565</v>
      </c>
      <c r="BD59" s="74">
        <f>AG59*Constants!$E$12</f>
        <v>4.4954829041972246</v>
      </c>
      <c r="BE59" s="74">
        <f>AH59*Constants!$E$11</f>
        <v>1.3381345103960973</v>
      </c>
      <c r="BF59" s="74">
        <f>AI59*Constants!$E$13</f>
        <v>5.5950266429840143</v>
      </c>
      <c r="BG59" s="74">
        <f t="shared" si="12"/>
        <v>3822.6096005375298</v>
      </c>
      <c r="BH59" s="76">
        <f>N59*Constants!$I$14</f>
        <v>8854.1440000000002</v>
      </c>
      <c r="BI59" s="76">
        <f>O59*Constants!$I$15</f>
        <v>168.64864864864865</v>
      </c>
      <c r="BJ59" s="76">
        <f>P59*Constants!$I$3</f>
        <v>2910.7200000000003</v>
      </c>
      <c r="BK59" s="76">
        <f>Q59*Constants!$I$4</f>
        <v>125.92432432432433</v>
      </c>
      <c r="BL59" s="76">
        <f>R59*Constants!$I$5</f>
        <v>36.727272727272727</v>
      </c>
      <c r="BM59" s="76">
        <f>S59*Constants!$I$6</f>
        <v>18126.545454545456</v>
      </c>
      <c r="BN59" s="76">
        <f>T59*Constants!$I$8</f>
        <v>115.01176470588234</v>
      </c>
      <c r="BO59" s="76">
        <f>U59*Constants!$I$10</f>
        <v>161.10344827586206</v>
      </c>
      <c r="BP59" s="72">
        <f>V59*Constants!$I$12</f>
        <v>36</v>
      </c>
      <c r="BQ59" s="72">
        <f>W59*Constants!$I$11</f>
        <v>11.311627906976746</v>
      </c>
      <c r="BR59" s="72">
        <f>X59*Constants!$I$13</f>
        <v>44.8</v>
      </c>
      <c r="BS59" s="71">
        <f t="shared" si="13"/>
        <v>30590.936541134422</v>
      </c>
    </row>
    <row r="60" spans="1:71">
      <c r="A60" s="58">
        <f>Rawdata!Y62</f>
        <v>124.17569444444234</v>
      </c>
      <c r="B60" s="59">
        <v>20</v>
      </c>
      <c r="C60" s="60">
        <v>216.92</v>
      </c>
      <c r="D60" s="60">
        <v>6.94</v>
      </c>
      <c r="E60" s="60">
        <v>151.65</v>
      </c>
      <c r="F60" s="60">
        <v>4.95</v>
      </c>
      <c r="G60" s="60">
        <v>1.4</v>
      </c>
      <c r="H60" s="60">
        <v>510.79</v>
      </c>
      <c r="I60" s="60">
        <v>2.77</v>
      </c>
      <c r="J60" s="60">
        <v>5.04</v>
      </c>
      <c r="K60" s="77">
        <v>2.77</v>
      </c>
      <c r="L60" s="77">
        <v>1.03</v>
      </c>
      <c r="M60" s="77">
        <v>4.29</v>
      </c>
      <c r="N60" s="64">
        <f t="shared" si="0"/>
        <v>4338.3999999999996</v>
      </c>
      <c r="O60" s="64">
        <f t="shared" si="1"/>
        <v>138.80000000000001</v>
      </c>
      <c r="P60" s="64">
        <f t="shared" si="2"/>
        <v>3033</v>
      </c>
      <c r="Q60" s="64">
        <f t="shared" si="3"/>
        <v>99</v>
      </c>
      <c r="R60" s="64">
        <f t="shared" si="4"/>
        <v>28</v>
      </c>
      <c r="S60" s="64">
        <f t="shared" si="5"/>
        <v>10215.800000000001</v>
      </c>
      <c r="T60" s="64">
        <f t="shared" si="6"/>
        <v>55.4</v>
      </c>
      <c r="U60" s="64">
        <f t="shared" si="7"/>
        <v>100.8</v>
      </c>
      <c r="V60" s="64">
        <f t="shared" si="8"/>
        <v>27.7</v>
      </c>
      <c r="W60" s="64">
        <f t="shared" si="9"/>
        <v>10.3</v>
      </c>
      <c r="X60" s="64">
        <f t="shared" si="10"/>
        <v>42.9</v>
      </c>
      <c r="Y60" s="61">
        <f>N60/Constants!$C$14</f>
        <v>94.173829990448894</v>
      </c>
      <c r="Z60" s="61">
        <f>O60/Constants!$C$15</f>
        <v>1.8726389638424177</v>
      </c>
      <c r="AA60" s="61">
        <f>P60/Constants!$C$3</f>
        <v>50.507910074937556</v>
      </c>
      <c r="AB60" s="61">
        <f>Q60/Constants!$C$4</f>
        <v>1.3363930885529158</v>
      </c>
      <c r="AC60" s="61">
        <f>R60/Constants!$C$5</f>
        <v>0.31778458744750882</v>
      </c>
      <c r="AD60" s="61">
        <f>S60/Constants!$C$6</f>
        <v>115.9437067302236</v>
      </c>
      <c r="AE60" s="61">
        <f>T60/Constants!$C$8</f>
        <v>0.5424459022814061</v>
      </c>
      <c r="AF60" s="61">
        <f>U60/Constants!$C$10</f>
        <v>0.86776859504132231</v>
      </c>
      <c r="AG60" s="61">
        <f>V60/Constants!$C$12</f>
        <v>0.26607879582534855</v>
      </c>
      <c r="AH60" s="61">
        <f>W60/Constants!$C$11</f>
        <v>0.11964223487048438</v>
      </c>
      <c r="AI60" s="61">
        <f>X60/Constants!$C$13</f>
        <v>0.47624333925399642</v>
      </c>
      <c r="AJ60" s="73">
        <f>Y60*Constants!$D$14</f>
        <v>188.34765998089779</v>
      </c>
      <c r="AK60" s="73">
        <f>Z60*Constants!$D$15</f>
        <v>7.4905558553696707</v>
      </c>
      <c r="AL60" s="73">
        <f>AA60*Constants!$D$3</f>
        <v>101.01582014987511</v>
      </c>
      <c r="AM60" s="73">
        <f>AB60*Constants!$D$4</f>
        <v>4.0091792656587479</v>
      </c>
      <c r="AN60" s="73">
        <f>AC60*Constants!$D$5</f>
        <v>1.2711383497900353</v>
      </c>
      <c r="AO60" s="73">
        <f>AD60*Constants!$D$6</f>
        <v>463.77482692089438</v>
      </c>
      <c r="AP60" s="73">
        <f>AE60*Constants!$D$8</f>
        <v>2.7122295114070303</v>
      </c>
      <c r="AQ60" s="73">
        <f>AF60*Constants!$D$10</f>
        <v>5.2066115702479339</v>
      </c>
      <c r="AR60" s="73">
        <f>AG60*Constants!$D$12</f>
        <v>1.0643151833013942</v>
      </c>
      <c r="AS60" s="73">
        <f>AH60*Constants!$D$11</f>
        <v>0.47856893948193752</v>
      </c>
      <c r="AT60" s="73">
        <f>AI60*Constants!$D$13</f>
        <v>1.4287300177619893</v>
      </c>
      <c r="AU60" s="73">
        <f t="shared" si="11"/>
        <v>776.79963574468593</v>
      </c>
      <c r="AV60" s="74">
        <f>Y60*Constants!$E$14</f>
        <v>1130.0859598853867</v>
      </c>
      <c r="AW60" s="74">
        <f>Z60*Constants!$E$15</f>
        <v>44.943335132218024</v>
      </c>
      <c r="AX60" s="74">
        <f>AA60*Constants!$E$3</f>
        <v>404.06328059950044</v>
      </c>
      <c r="AY60" s="74">
        <f>AB60*Constants!$E$4</f>
        <v>18.709503239740823</v>
      </c>
      <c r="AZ60" s="74">
        <f>AC60*Constants!$E$5</f>
        <v>6.3556917489501767</v>
      </c>
      <c r="BA60" s="74">
        <f>AD60*Constants!$E$6</f>
        <v>2318.8741346044717</v>
      </c>
      <c r="BB60" s="74">
        <f>AE60*Constants!$E$8</f>
        <v>14.103593459316558</v>
      </c>
      <c r="BC60" s="74">
        <f>AF60*Constants!$E$10</f>
        <v>27.768595041322314</v>
      </c>
      <c r="BD60" s="74">
        <f>AG60*Constants!$E$12</f>
        <v>4.7894183248562738</v>
      </c>
      <c r="BE60" s="74">
        <f>AH60*Constants!$E$11</f>
        <v>2.1535602276687187</v>
      </c>
      <c r="BF60" s="74">
        <f>AI60*Constants!$E$13</f>
        <v>5.7149200710479571</v>
      </c>
      <c r="BG60" s="74">
        <f t="shared" si="12"/>
        <v>3977.5619923344793</v>
      </c>
      <c r="BH60" s="76">
        <f>N60*Constants!$I$14</f>
        <v>9023.8719999999994</v>
      </c>
      <c r="BI60" s="76">
        <f>O60*Constants!$I$15</f>
        <v>360.12972972972977</v>
      </c>
      <c r="BJ60" s="76">
        <f>P60*Constants!$I$3</f>
        <v>3235.2</v>
      </c>
      <c r="BK60" s="76">
        <f>Q60*Constants!$I$4</f>
        <v>149.83783783783784</v>
      </c>
      <c r="BL60" s="76">
        <f>R60*Constants!$I$5</f>
        <v>50.909090909090907</v>
      </c>
      <c r="BM60" s="76">
        <f>S60*Constants!$I$6</f>
        <v>18574.18181818182</v>
      </c>
      <c r="BN60" s="76">
        <f>T60*Constants!$I$8</f>
        <v>112.97254901960783</v>
      </c>
      <c r="BO60" s="76">
        <f>U60*Constants!$I$10</f>
        <v>222.45517241379309</v>
      </c>
      <c r="BP60" s="72">
        <f>V60*Constants!$I$12</f>
        <v>38.353846153846149</v>
      </c>
      <c r="BQ60" s="72">
        <f>W60*Constants!$I$11</f>
        <v>18.2046511627907</v>
      </c>
      <c r="BR60" s="72">
        <f>X60*Constants!$I$13</f>
        <v>45.76</v>
      </c>
      <c r="BS60" s="71">
        <f t="shared" si="13"/>
        <v>31831.876695408511</v>
      </c>
    </row>
    <row r="61" spans="1:71">
      <c r="A61" s="58">
        <f>Rawdata!Y63</f>
        <v>126.16180555555911</v>
      </c>
      <c r="B61" s="59">
        <v>20</v>
      </c>
      <c r="C61" s="60">
        <v>222.03</v>
      </c>
      <c r="D61" s="60">
        <v>7.98</v>
      </c>
      <c r="E61" s="60">
        <v>167.1</v>
      </c>
      <c r="F61" s="60">
        <v>5</v>
      </c>
      <c r="G61" s="60">
        <v>1.3</v>
      </c>
      <c r="H61" s="60">
        <v>482.99</v>
      </c>
      <c r="I61" s="60">
        <v>2.75</v>
      </c>
      <c r="J61" s="60">
        <v>5.56</v>
      </c>
      <c r="K61" s="77">
        <v>3.41</v>
      </c>
      <c r="L61" s="77">
        <v>1.49</v>
      </c>
      <c r="M61" s="77">
        <v>4.54</v>
      </c>
      <c r="N61" s="64">
        <f t="shared" si="0"/>
        <v>4440.6000000000004</v>
      </c>
      <c r="O61" s="64">
        <f t="shared" si="1"/>
        <v>159.60000000000002</v>
      </c>
      <c r="P61" s="64">
        <f t="shared" si="2"/>
        <v>3342</v>
      </c>
      <c r="Q61" s="64">
        <f t="shared" si="3"/>
        <v>100</v>
      </c>
      <c r="R61" s="64">
        <f t="shared" si="4"/>
        <v>26</v>
      </c>
      <c r="S61" s="64">
        <f t="shared" si="5"/>
        <v>9659.7999999999993</v>
      </c>
      <c r="T61" s="64">
        <f t="shared" si="6"/>
        <v>55</v>
      </c>
      <c r="U61" s="64">
        <f t="shared" si="7"/>
        <v>111.19999999999999</v>
      </c>
      <c r="V61" s="64">
        <f t="shared" si="8"/>
        <v>34.1</v>
      </c>
      <c r="W61" s="64">
        <f t="shared" si="9"/>
        <v>14.9</v>
      </c>
      <c r="X61" s="64">
        <f t="shared" si="10"/>
        <v>45.4</v>
      </c>
      <c r="Y61" s="61">
        <f>N61/Constants!$C$14</f>
        <v>96.392289658765321</v>
      </c>
      <c r="Z61" s="61">
        <f>O61/Constants!$C$15</f>
        <v>2.1532649757150568</v>
      </c>
      <c r="AA61" s="61">
        <f>P61/Constants!$C$3</f>
        <v>55.653621981681937</v>
      </c>
      <c r="AB61" s="61">
        <f>Q61/Constants!$C$4</f>
        <v>1.3498920086393089</v>
      </c>
      <c r="AC61" s="61">
        <f>R61/Constants!$C$5</f>
        <v>0.2950856883441153</v>
      </c>
      <c r="AD61" s="61">
        <f>S61/Constants!$C$6</f>
        <v>109.63341277948018</v>
      </c>
      <c r="AE61" s="61">
        <f>T61/Constants!$C$8</f>
        <v>0.53852932536962694</v>
      </c>
      <c r="AF61" s="61">
        <f>U61/Constants!$C$10</f>
        <v>0.95730027548209362</v>
      </c>
      <c r="AG61" s="61">
        <f>V61/Constants!$C$12</f>
        <v>0.32755548511351573</v>
      </c>
      <c r="AH61" s="61">
        <f>W61/Constants!$C$11</f>
        <v>0.17307468927866188</v>
      </c>
      <c r="AI61" s="61">
        <f>X61/Constants!$C$13</f>
        <v>0.50399644760213147</v>
      </c>
      <c r="AJ61" s="73">
        <f>Y61*Constants!$D$14</f>
        <v>192.78457931753064</v>
      </c>
      <c r="AK61" s="73">
        <f>Z61*Constants!$D$15</f>
        <v>8.6130599028602273</v>
      </c>
      <c r="AL61" s="73">
        <f>AA61*Constants!$D$3</f>
        <v>111.30724396336387</v>
      </c>
      <c r="AM61" s="73">
        <f>AB61*Constants!$D$4</f>
        <v>4.0496760259179272</v>
      </c>
      <c r="AN61" s="73">
        <f>AC61*Constants!$D$5</f>
        <v>1.1803427533764612</v>
      </c>
      <c r="AO61" s="73">
        <f>AD61*Constants!$D$6</f>
        <v>438.53365111792073</v>
      </c>
      <c r="AP61" s="73">
        <f>AE61*Constants!$D$8</f>
        <v>2.6926466268481346</v>
      </c>
      <c r="AQ61" s="73">
        <f>AF61*Constants!$D$10</f>
        <v>5.7438016528925617</v>
      </c>
      <c r="AR61" s="73">
        <f>AG61*Constants!$D$12</f>
        <v>1.3102219404540629</v>
      </c>
      <c r="AS61" s="73">
        <f>AH61*Constants!$D$11</f>
        <v>0.6922987571146475</v>
      </c>
      <c r="AT61" s="73">
        <f>AI61*Constants!$D$13</f>
        <v>1.5119893428063944</v>
      </c>
      <c r="AU61" s="73">
        <f t="shared" si="11"/>
        <v>768.41951140108563</v>
      </c>
      <c r="AV61" s="74">
        <f>Y61*Constants!$E$14</f>
        <v>1156.7074759051839</v>
      </c>
      <c r="AW61" s="74">
        <f>Z61*Constants!$E$15</f>
        <v>51.67835941716136</v>
      </c>
      <c r="AX61" s="74">
        <f>AA61*Constants!$E$3</f>
        <v>445.22897585345549</v>
      </c>
      <c r="AY61" s="74">
        <f>AB61*Constants!$E$4</f>
        <v>18.898488120950326</v>
      </c>
      <c r="AZ61" s="74">
        <f>AC61*Constants!$E$5</f>
        <v>5.9017137668823061</v>
      </c>
      <c r="BA61" s="74">
        <f>AD61*Constants!$E$6</f>
        <v>2192.6682555896036</v>
      </c>
      <c r="BB61" s="74">
        <f>AE61*Constants!$E$8</f>
        <v>14.001762459610301</v>
      </c>
      <c r="BC61" s="74">
        <f>AF61*Constants!$E$10</f>
        <v>30.633608815426996</v>
      </c>
      <c r="BD61" s="74">
        <f>AG61*Constants!$E$12</f>
        <v>5.8959987320432834</v>
      </c>
      <c r="BE61" s="74">
        <f>AH61*Constants!$E$11</f>
        <v>3.1153444070159138</v>
      </c>
      <c r="BF61" s="74">
        <f>AI61*Constants!$E$13</f>
        <v>6.0479573712255776</v>
      </c>
      <c r="BG61" s="74">
        <f t="shared" si="12"/>
        <v>3930.7779404385587</v>
      </c>
      <c r="BH61" s="76">
        <f>N61*Constants!$I$14</f>
        <v>9236.4480000000003</v>
      </c>
      <c r="BI61" s="76">
        <f>O61*Constants!$I$15</f>
        <v>414.09729729729736</v>
      </c>
      <c r="BJ61" s="76">
        <f>P61*Constants!$I$3</f>
        <v>3564.7999999999997</v>
      </c>
      <c r="BK61" s="76">
        <f>Q61*Constants!$I$4</f>
        <v>151.35135135135135</v>
      </c>
      <c r="BL61" s="76">
        <f>R61*Constants!$I$5</f>
        <v>47.272727272727273</v>
      </c>
      <c r="BM61" s="76">
        <f>S61*Constants!$I$6</f>
        <v>17563.272727272724</v>
      </c>
      <c r="BN61" s="76">
        <f>T61*Constants!$I$8</f>
        <v>112.15686274509804</v>
      </c>
      <c r="BO61" s="76">
        <f>U61*Constants!$I$10</f>
        <v>245.40689655172412</v>
      </c>
      <c r="BP61" s="72">
        <f>V61*Constants!$I$12</f>
        <v>47.215384615384615</v>
      </c>
      <c r="BQ61" s="72">
        <f>W61*Constants!$I$11</f>
        <v>26.334883720930232</v>
      </c>
      <c r="BR61" s="72">
        <f>X61*Constants!$I$13</f>
        <v>48.426666666666662</v>
      </c>
      <c r="BS61" s="71">
        <f t="shared" si="13"/>
        <v>31456.782797493906</v>
      </c>
    </row>
    <row r="62" spans="1:71">
      <c r="A62" s="58">
        <f>Rawdata!Y64</f>
        <v>128.18472222222044</v>
      </c>
      <c r="B62" s="59">
        <v>20</v>
      </c>
      <c r="C62" s="60">
        <v>265.56</v>
      </c>
      <c r="D62" s="60">
        <v>10.16</v>
      </c>
      <c r="E62" s="60">
        <v>189.28</v>
      </c>
      <c r="F62" s="60">
        <v>3.9</v>
      </c>
      <c r="G62" s="60">
        <v>1.19</v>
      </c>
      <c r="H62" s="60">
        <v>484.62</v>
      </c>
      <c r="I62" s="60">
        <v>2.91</v>
      </c>
      <c r="J62" s="60">
        <v>6.24</v>
      </c>
      <c r="K62" s="77">
        <v>2.81</v>
      </c>
      <c r="L62" s="77">
        <v>1.6</v>
      </c>
      <c r="M62" s="77">
        <v>4.42</v>
      </c>
      <c r="N62" s="64">
        <f t="shared" si="0"/>
        <v>5311.2</v>
      </c>
      <c r="O62" s="64">
        <f t="shared" si="1"/>
        <v>203.2</v>
      </c>
      <c r="P62" s="64">
        <f t="shared" si="2"/>
        <v>3785.6</v>
      </c>
      <c r="Q62" s="64">
        <f t="shared" si="3"/>
        <v>78</v>
      </c>
      <c r="R62" s="64">
        <f t="shared" si="4"/>
        <v>23.799999999999997</v>
      </c>
      <c r="S62" s="64">
        <f t="shared" si="5"/>
        <v>9692.4</v>
      </c>
      <c r="T62" s="64">
        <f t="shared" si="6"/>
        <v>58.2</v>
      </c>
      <c r="U62" s="64">
        <f t="shared" si="7"/>
        <v>124.80000000000001</v>
      </c>
      <c r="V62" s="64">
        <f t="shared" si="8"/>
        <v>28.1</v>
      </c>
      <c r="W62" s="64">
        <f t="shared" si="9"/>
        <v>16</v>
      </c>
      <c r="X62" s="64">
        <f t="shared" si="10"/>
        <v>44.2</v>
      </c>
      <c r="Y62" s="61">
        <f>N62/Constants!$C$14</f>
        <v>115.29044021880698</v>
      </c>
      <c r="Z62" s="61">
        <f>O62/Constants!$C$15</f>
        <v>2.7415002698327036</v>
      </c>
      <c r="AA62" s="61">
        <f>P62/Constants!$C$3</f>
        <v>63.04079933388843</v>
      </c>
      <c r="AB62" s="61">
        <f>Q62/Constants!$C$4</f>
        <v>1.0529157667386608</v>
      </c>
      <c r="AC62" s="61">
        <f>R62/Constants!$C$5</f>
        <v>0.27011689933038247</v>
      </c>
      <c r="AD62" s="61">
        <f>S62/Constants!$C$6</f>
        <v>110.00340483486551</v>
      </c>
      <c r="AE62" s="61">
        <f>T62/Constants!$C$8</f>
        <v>0.56986194066385987</v>
      </c>
      <c r="AF62" s="61">
        <f>U62/Constants!$C$10</f>
        <v>1.0743801652892564</v>
      </c>
      <c r="AG62" s="61">
        <f>V62/Constants!$C$12</f>
        <v>0.26992108890585903</v>
      </c>
      <c r="AH62" s="61">
        <f>W62/Constants!$C$11</f>
        <v>0.18585201533279125</v>
      </c>
      <c r="AI62" s="61">
        <f>X62/Constants!$C$13</f>
        <v>0.49067495559502666</v>
      </c>
      <c r="AJ62" s="73">
        <f>Y62*Constants!$D$14</f>
        <v>230.58088043761396</v>
      </c>
      <c r="AK62" s="73">
        <f>Z62*Constants!$D$15</f>
        <v>10.966001079330814</v>
      </c>
      <c r="AL62" s="73">
        <f>AA62*Constants!$D$3</f>
        <v>126.08159866777686</v>
      </c>
      <c r="AM62" s="73">
        <f>AB62*Constants!$D$4</f>
        <v>3.1587473002159827</v>
      </c>
      <c r="AN62" s="73">
        <f>AC62*Constants!$D$5</f>
        <v>1.0804675973215299</v>
      </c>
      <c r="AO62" s="73">
        <f>AD62*Constants!$D$6</f>
        <v>440.01361933946202</v>
      </c>
      <c r="AP62" s="73">
        <f>AE62*Constants!$D$8</f>
        <v>2.8493097033192996</v>
      </c>
      <c r="AQ62" s="73">
        <f>AF62*Constants!$D$10</f>
        <v>6.4462809917355379</v>
      </c>
      <c r="AR62" s="73">
        <f>AG62*Constants!$D$12</f>
        <v>1.0796843556234361</v>
      </c>
      <c r="AS62" s="73">
        <f>AH62*Constants!$D$11</f>
        <v>0.74340806133116499</v>
      </c>
      <c r="AT62" s="73">
        <f>AI62*Constants!$D$13</f>
        <v>1.4720248667850799</v>
      </c>
      <c r="AU62" s="73">
        <f t="shared" si="11"/>
        <v>824.47202240051558</v>
      </c>
      <c r="AV62" s="74">
        <f>Y62*Constants!$E$14</f>
        <v>1383.4852826256838</v>
      </c>
      <c r="AW62" s="74">
        <f>Z62*Constants!$E$15</f>
        <v>65.796006475984882</v>
      </c>
      <c r="AX62" s="74">
        <f>AA62*Constants!$E$3</f>
        <v>504.32639467110744</v>
      </c>
      <c r="AY62" s="74">
        <f>AB62*Constants!$E$4</f>
        <v>14.740820734341252</v>
      </c>
      <c r="AZ62" s="74">
        <f>AC62*Constants!$E$5</f>
        <v>5.4023379866076491</v>
      </c>
      <c r="BA62" s="74">
        <f>AD62*Constants!$E$6</f>
        <v>2200.06809669731</v>
      </c>
      <c r="BB62" s="74">
        <f>AE62*Constants!$E$8</f>
        <v>14.816410457260357</v>
      </c>
      <c r="BC62" s="74">
        <f>AF62*Constants!$E$10</f>
        <v>34.380165289256205</v>
      </c>
      <c r="BD62" s="74">
        <f>AG62*Constants!$E$12</f>
        <v>4.8585796003054629</v>
      </c>
      <c r="BE62" s="74">
        <f>AH62*Constants!$E$11</f>
        <v>3.3453362759902423</v>
      </c>
      <c r="BF62" s="74">
        <f>AI62*Constants!$E$13</f>
        <v>5.8880994671403197</v>
      </c>
      <c r="BG62" s="74">
        <f t="shared" si="12"/>
        <v>4237.1075302809868</v>
      </c>
      <c r="BH62" s="76">
        <f>N62*Constants!$I$14</f>
        <v>11047.296</v>
      </c>
      <c r="BI62" s="76">
        <f>O62*Constants!$I$15</f>
        <v>527.22162162162158</v>
      </c>
      <c r="BJ62" s="76">
        <f>P62*Constants!$I$3</f>
        <v>4037.9733333333334</v>
      </c>
      <c r="BK62" s="76">
        <f>Q62*Constants!$I$4</f>
        <v>118.05405405405406</v>
      </c>
      <c r="BL62" s="76">
        <f>R62*Constants!$I$5</f>
        <v>43.272727272727266</v>
      </c>
      <c r="BM62" s="76">
        <f>S62*Constants!$I$6</f>
        <v>17622.545454545452</v>
      </c>
      <c r="BN62" s="76">
        <f>T62*Constants!$I$8</f>
        <v>118.68235294117648</v>
      </c>
      <c r="BO62" s="76">
        <f>U62*Constants!$I$10</f>
        <v>275.42068965517245</v>
      </c>
      <c r="BP62" s="72">
        <f>V62*Constants!$I$12</f>
        <v>38.907692307692308</v>
      </c>
      <c r="BQ62" s="72">
        <f>W62*Constants!$I$11</f>
        <v>28.279069767441861</v>
      </c>
      <c r="BR62" s="72">
        <f>X62*Constants!$I$13</f>
        <v>47.146666666666668</v>
      </c>
      <c r="BS62" s="71">
        <f t="shared" si="13"/>
        <v>33904.799662165344</v>
      </c>
    </row>
    <row r="63" spans="1:71">
      <c r="A63" s="58">
        <f>Rawdata!Y65</f>
        <v>131.17083333333721</v>
      </c>
      <c r="B63" s="59">
        <v>20</v>
      </c>
      <c r="C63" s="60">
        <v>273.58999999999997</v>
      </c>
      <c r="D63" s="60">
        <v>10.35</v>
      </c>
      <c r="E63" s="60">
        <v>207.09</v>
      </c>
      <c r="F63" s="60">
        <v>3.45</v>
      </c>
      <c r="G63" s="60">
        <v>1.02</v>
      </c>
      <c r="H63" s="60">
        <v>454.6</v>
      </c>
      <c r="I63" s="60">
        <v>2.6</v>
      </c>
      <c r="J63" s="60">
        <v>8.51</v>
      </c>
      <c r="K63" s="77">
        <v>2.54</v>
      </c>
      <c r="L63" s="77">
        <v>1.32</v>
      </c>
      <c r="M63" s="77">
        <v>4.17</v>
      </c>
      <c r="N63" s="64">
        <f t="shared" si="0"/>
        <v>5471.7999999999993</v>
      </c>
      <c r="O63" s="64">
        <f t="shared" si="1"/>
        <v>207</v>
      </c>
      <c r="P63" s="64">
        <f t="shared" si="2"/>
        <v>4141.8</v>
      </c>
      <c r="Q63" s="64">
        <f t="shared" si="3"/>
        <v>69</v>
      </c>
      <c r="R63" s="64">
        <f t="shared" si="4"/>
        <v>20.399999999999999</v>
      </c>
      <c r="S63" s="64">
        <f t="shared" si="5"/>
        <v>9092</v>
      </c>
      <c r="T63" s="64">
        <f t="shared" si="6"/>
        <v>52</v>
      </c>
      <c r="U63" s="64">
        <f t="shared" si="7"/>
        <v>170.2</v>
      </c>
      <c r="V63" s="64">
        <f t="shared" si="8"/>
        <v>25.4</v>
      </c>
      <c r="W63" s="64">
        <f t="shared" si="9"/>
        <v>13.200000000000001</v>
      </c>
      <c r="X63" s="64">
        <f t="shared" si="10"/>
        <v>41.7</v>
      </c>
      <c r="Y63" s="61">
        <f>N63/Constants!$C$14</f>
        <v>118.77659112616132</v>
      </c>
      <c r="Z63" s="61">
        <f>O63/Constants!$C$15</f>
        <v>2.7927684835402049</v>
      </c>
      <c r="AA63" s="61">
        <f>P63/Constants!$C$3</f>
        <v>68.97252289758535</v>
      </c>
      <c r="AB63" s="61">
        <f>Q63/Constants!$C$4</f>
        <v>0.93142548596112318</v>
      </c>
      <c r="AC63" s="61">
        <f>R63/Constants!$C$5</f>
        <v>0.23152877085461354</v>
      </c>
      <c r="AD63" s="61">
        <f>S63/Constants!$C$6</f>
        <v>103.18919532402678</v>
      </c>
      <c r="AE63" s="61">
        <f>T63/Constants!$C$8</f>
        <v>0.50915499853128365</v>
      </c>
      <c r="AF63" s="61">
        <f>U63/Constants!$C$10</f>
        <v>1.4652203856749311</v>
      </c>
      <c r="AG63" s="61">
        <f>V63/Constants!$C$12</f>
        <v>0.24398561061241347</v>
      </c>
      <c r="AH63" s="61">
        <f>W63/Constants!$C$11</f>
        <v>0.15332791264955281</v>
      </c>
      <c r="AI63" s="61">
        <f>X63/Constants!$C$13</f>
        <v>0.46292184724689167</v>
      </c>
      <c r="AJ63" s="73">
        <f>Y63*Constants!$D$14</f>
        <v>237.55318225232264</v>
      </c>
      <c r="AK63" s="73">
        <f>Z63*Constants!$D$15</f>
        <v>11.17107393416082</v>
      </c>
      <c r="AL63" s="73">
        <f>AA63*Constants!$D$3</f>
        <v>137.9450457951707</v>
      </c>
      <c r="AM63" s="73">
        <f>AB63*Constants!$D$4</f>
        <v>2.7942764578833694</v>
      </c>
      <c r="AN63" s="73">
        <f>AC63*Constants!$D$5</f>
        <v>0.92611508341845417</v>
      </c>
      <c r="AO63" s="73">
        <f>AD63*Constants!$D$6</f>
        <v>412.75678129610714</v>
      </c>
      <c r="AP63" s="73">
        <f>AE63*Constants!$D$8</f>
        <v>2.5457749926564182</v>
      </c>
      <c r="AQ63" s="73">
        <f>AF63*Constants!$D$10</f>
        <v>8.7913223140495873</v>
      </c>
      <c r="AR63" s="73">
        <f>AG63*Constants!$D$12</f>
        <v>0.97594244244965389</v>
      </c>
      <c r="AS63" s="73">
        <f>AH63*Constants!$D$11</f>
        <v>0.61331165059821124</v>
      </c>
      <c r="AT63" s="73">
        <f>AI63*Constants!$D$13</f>
        <v>1.388765541740675</v>
      </c>
      <c r="AU63" s="73">
        <f t="shared" si="11"/>
        <v>817.46159176055767</v>
      </c>
      <c r="AV63" s="74">
        <f>Y63*Constants!$E$14</f>
        <v>1425.319093513936</v>
      </c>
      <c r="AW63" s="74">
        <f>Z63*Constants!$E$15</f>
        <v>67.026443604964925</v>
      </c>
      <c r="AX63" s="74">
        <f>AA63*Constants!$E$3</f>
        <v>551.7801831806828</v>
      </c>
      <c r="AY63" s="74">
        <f>AB63*Constants!$E$4</f>
        <v>13.039956803455725</v>
      </c>
      <c r="AZ63" s="74">
        <f>AC63*Constants!$E$5</f>
        <v>4.6305754170922704</v>
      </c>
      <c r="BA63" s="74">
        <f>AD63*Constants!$E$6</f>
        <v>2063.7839064805357</v>
      </c>
      <c r="BB63" s="74">
        <f>AE63*Constants!$E$8</f>
        <v>13.238029961813375</v>
      </c>
      <c r="BC63" s="74">
        <f>AF63*Constants!$E$10</f>
        <v>46.887052341597794</v>
      </c>
      <c r="BD63" s="74">
        <f>AG63*Constants!$E$12</f>
        <v>4.3917409910234424</v>
      </c>
      <c r="BE63" s="74">
        <f>AH63*Constants!$E$11</f>
        <v>2.7599024276919506</v>
      </c>
      <c r="BF63" s="74">
        <f>AI63*Constants!$E$13</f>
        <v>5.5550621669627001</v>
      </c>
      <c r="BG63" s="74">
        <f t="shared" si="12"/>
        <v>4198.411946889757</v>
      </c>
      <c r="BH63" s="76">
        <f>N63*Constants!$I$14</f>
        <v>11381.343999999999</v>
      </c>
      <c r="BI63" s="76">
        <f>O63*Constants!$I$15</f>
        <v>537.08108108108115</v>
      </c>
      <c r="BJ63" s="76">
        <f>P63*Constants!$I$3</f>
        <v>4417.92</v>
      </c>
      <c r="BK63" s="76">
        <f>Q63*Constants!$I$4</f>
        <v>104.43243243243244</v>
      </c>
      <c r="BL63" s="76">
        <f>R63*Constants!$I$5</f>
        <v>37.090909090909086</v>
      </c>
      <c r="BM63" s="76">
        <f>S63*Constants!$I$6</f>
        <v>16530.909090909092</v>
      </c>
      <c r="BN63" s="76">
        <f>T63*Constants!$I$8</f>
        <v>106.0392156862745</v>
      </c>
      <c r="BO63" s="76">
        <f>U63*Constants!$I$10</f>
        <v>375.61379310344824</v>
      </c>
      <c r="BP63" s="72">
        <f>V63*Constants!$I$12</f>
        <v>35.169230769230765</v>
      </c>
      <c r="BQ63" s="72">
        <f>W63*Constants!$I$11</f>
        <v>23.330232558139539</v>
      </c>
      <c r="BR63" s="72">
        <f>X63*Constants!$I$13</f>
        <v>44.480000000000004</v>
      </c>
      <c r="BS63" s="71">
        <f t="shared" si="13"/>
        <v>33593.409985630606</v>
      </c>
    </row>
    <row r="64" spans="1:71">
      <c r="A64" s="58">
        <f>Rawdata!Y66</f>
        <v>132.02500000000146</v>
      </c>
      <c r="B64" s="59">
        <v>20</v>
      </c>
      <c r="C64" s="60">
        <v>270.06</v>
      </c>
      <c r="D64" s="60">
        <v>10.27</v>
      </c>
      <c r="E64" s="60">
        <v>208.04</v>
      </c>
      <c r="F64" s="60">
        <v>3.58</v>
      </c>
      <c r="G64" s="60">
        <v>1.07</v>
      </c>
      <c r="H64" s="60">
        <v>446.89</v>
      </c>
      <c r="I64" s="60">
        <v>2.67</v>
      </c>
      <c r="J64" s="60">
        <v>10.27</v>
      </c>
      <c r="K64" s="77">
        <v>2.9</v>
      </c>
      <c r="L64" s="77">
        <v>1.21</v>
      </c>
      <c r="M64" s="77">
        <v>4.5199999999999996</v>
      </c>
      <c r="N64" s="64">
        <f t="shared" si="0"/>
        <v>5401.2</v>
      </c>
      <c r="O64" s="64">
        <f t="shared" si="1"/>
        <v>205.39999999999998</v>
      </c>
      <c r="P64" s="64">
        <f t="shared" si="2"/>
        <v>4160.8</v>
      </c>
      <c r="Q64" s="64">
        <f t="shared" si="3"/>
        <v>71.599999999999994</v>
      </c>
      <c r="R64" s="64">
        <f t="shared" si="4"/>
        <v>21.400000000000002</v>
      </c>
      <c r="S64" s="64">
        <f t="shared" si="5"/>
        <v>8937.7999999999993</v>
      </c>
      <c r="T64" s="64">
        <f t="shared" si="6"/>
        <v>53.4</v>
      </c>
      <c r="U64" s="64">
        <f t="shared" si="7"/>
        <v>205.39999999999998</v>
      </c>
      <c r="V64" s="64">
        <f t="shared" si="8"/>
        <v>29</v>
      </c>
      <c r="W64" s="64">
        <f t="shared" si="9"/>
        <v>12.1</v>
      </c>
      <c r="X64" s="64">
        <f t="shared" si="10"/>
        <v>45.199999999999996</v>
      </c>
      <c r="Y64" s="61">
        <f>N64/Constants!$C$14</f>
        <v>117.24407397759833</v>
      </c>
      <c r="Z64" s="61">
        <f>O64/Constants!$C$15</f>
        <v>2.7711818672423094</v>
      </c>
      <c r="AA64" s="61">
        <f>P64/Constants!$C$3</f>
        <v>69.288925895087431</v>
      </c>
      <c r="AB64" s="61">
        <f>Q64/Constants!$C$4</f>
        <v>0.96652267818574511</v>
      </c>
      <c r="AC64" s="61">
        <f>R64/Constants!$C$5</f>
        <v>0.24287822040631032</v>
      </c>
      <c r="AD64" s="61">
        <f>S64/Constants!$C$6</f>
        <v>101.43911020315514</v>
      </c>
      <c r="AE64" s="61">
        <f>T64/Constants!$C$8</f>
        <v>0.52286301772251054</v>
      </c>
      <c r="AF64" s="61">
        <f>U64/Constants!$C$10</f>
        <v>1.7682506887052341</v>
      </c>
      <c r="AG64" s="61">
        <f>V64/Constants!$C$12</f>
        <v>0.27856624833700755</v>
      </c>
      <c r="AH64" s="61">
        <f>W64/Constants!$C$11</f>
        <v>0.14055058659542338</v>
      </c>
      <c r="AI64" s="61">
        <f>X64/Constants!$C$13</f>
        <v>0.5017761989342806</v>
      </c>
      <c r="AJ64" s="73">
        <f>Y64*Constants!$D$14</f>
        <v>234.48814795519667</v>
      </c>
      <c r="AK64" s="73">
        <f>Z64*Constants!$D$15</f>
        <v>11.084727468969238</v>
      </c>
      <c r="AL64" s="73">
        <f>AA64*Constants!$D$3</f>
        <v>138.57785179017486</v>
      </c>
      <c r="AM64" s="73">
        <f>AB64*Constants!$D$4</f>
        <v>2.8995680345572352</v>
      </c>
      <c r="AN64" s="73">
        <f>AC64*Constants!$D$5</f>
        <v>0.9715128816252413</v>
      </c>
      <c r="AO64" s="73">
        <f>AD64*Constants!$D$6</f>
        <v>405.75644081262055</v>
      </c>
      <c r="AP64" s="73">
        <f>AE64*Constants!$D$8</f>
        <v>2.6143150886125528</v>
      </c>
      <c r="AQ64" s="73">
        <f>AF64*Constants!$D$10</f>
        <v>10.609504132231404</v>
      </c>
      <c r="AR64" s="73">
        <f>AG64*Constants!$D$12</f>
        <v>1.1142649933480302</v>
      </c>
      <c r="AS64" s="73">
        <f>AH64*Constants!$D$11</f>
        <v>0.56220234638169353</v>
      </c>
      <c r="AT64" s="73">
        <f>AI64*Constants!$D$13</f>
        <v>1.5053285968028418</v>
      </c>
      <c r="AU64" s="73">
        <f t="shared" si="11"/>
        <v>810.1838641005204</v>
      </c>
      <c r="AV64" s="74">
        <f>Y64*Constants!$E$14</f>
        <v>1406.9288877311801</v>
      </c>
      <c r="AW64" s="74">
        <f>Z64*Constants!$E$15</f>
        <v>66.508364813815433</v>
      </c>
      <c r="AX64" s="74">
        <f>AA64*Constants!$E$3</f>
        <v>554.31140716069945</v>
      </c>
      <c r="AY64" s="74">
        <f>AB64*Constants!$E$4</f>
        <v>13.531317494600431</v>
      </c>
      <c r="AZ64" s="74">
        <f>AC64*Constants!$E$5</f>
        <v>4.8575644081262066</v>
      </c>
      <c r="BA64" s="74">
        <f>AD64*Constants!$E$6</f>
        <v>2028.7822040631027</v>
      </c>
      <c r="BB64" s="74">
        <f>AE64*Constants!$E$8</f>
        <v>13.594438460785273</v>
      </c>
      <c r="BC64" s="74">
        <f>AF64*Constants!$E$10</f>
        <v>56.58402203856749</v>
      </c>
      <c r="BD64" s="74">
        <f>AG64*Constants!$E$12</f>
        <v>5.0141924700661358</v>
      </c>
      <c r="BE64" s="74">
        <f>AH64*Constants!$E$11</f>
        <v>2.5299105587176207</v>
      </c>
      <c r="BF64" s="74">
        <f>AI64*Constants!$E$13</f>
        <v>6.0213143872113672</v>
      </c>
      <c r="BG64" s="74">
        <f t="shared" si="12"/>
        <v>4158.6636235868718</v>
      </c>
      <c r="BH64" s="76">
        <f>N64*Constants!$I$14</f>
        <v>11234.495999999999</v>
      </c>
      <c r="BI64" s="76">
        <f>O64*Constants!$I$15</f>
        <v>532.92972972972973</v>
      </c>
      <c r="BJ64" s="76">
        <f>P64*Constants!$I$3</f>
        <v>4438.1866666666665</v>
      </c>
      <c r="BK64" s="76">
        <f>Q64*Constants!$I$4</f>
        <v>108.36756756756756</v>
      </c>
      <c r="BL64" s="76">
        <f>R64*Constants!$I$5</f>
        <v>38.909090909090914</v>
      </c>
      <c r="BM64" s="76">
        <f>S64*Constants!$I$6</f>
        <v>16250.545454545452</v>
      </c>
      <c r="BN64" s="76">
        <f>T64*Constants!$I$8</f>
        <v>108.89411764705881</v>
      </c>
      <c r="BO64" s="76">
        <f>U64*Constants!$I$10</f>
        <v>453.29655172413788</v>
      </c>
      <c r="BP64" s="72">
        <f>V64*Constants!$I$12</f>
        <v>40.153846153846153</v>
      </c>
      <c r="BQ64" s="72">
        <f>W64*Constants!$I$11</f>
        <v>21.386046511627907</v>
      </c>
      <c r="BR64" s="72">
        <f>X64*Constants!$I$13</f>
        <v>48.213333333333331</v>
      </c>
      <c r="BS64" s="71">
        <f t="shared" si="13"/>
        <v>33275.378404788506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9B9F6-2D9A-4BF6-AA52-C2A9241293AF}">
  <dimension ref="A2:AA6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0" sqref="G10"/>
    </sheetView>
  </sheetViews>
  <sheetFormatPr defaultRowHeight="15"/>
  <sheetData>
    <row r="2" spans="1:27">
      <c r="B2" t="s">
        <v>197</v>
      </c>
      <c r="C2" t="s">
        <v>197</v>
      </c>
      <c r="D2" t="s">
        <v>197</v>
      </c>
      <c r="E2" t="s">
        <v>197</v>
      </c>
      <c r="F2" t="s">
        <v>197</v>
      </c>
      <c r="G2" t="s">
        <v>197</v>
      </c>
      <c r="H2" t="s">
        <v>197</v>
      </c>
      <c r="I2" t="s">
        <v>197</v>
      </c>
      <c r="J2" t="s">
        <v>197</v>
      </c>
      <c r="K2" t="s">
        <v>197</v>
      </c>
      <c r="L2" t="s">
        <v>197</v>
      </c>
    </row>
    <row r="3" spans="1:27">
      <c r="A3" t="s">
        <v>313</v>
      </c>
      <c r="B3" t="s">
        <v>315</v>
      </c>
      <c r="C3" t="s">
        <v>192</v>
      </c>
      <c r="D3" t="s">
        <v>193</v>
      </c>
      <c r="E3" t="s">
        <v>196</v>
      </c>
      <c r="F3" t="s">
        <v>324</v>
      </c>
      <c r="G3" t="s">
        <v>180</v>
      </c>
      <c r="H3" t="s">
        <v>181</v>
      </c>
      <c r="I3" t="s">
        <v>182</v>
      </c>
      <c r="J3" t="s">
        <v>183</v>
      </c>
      <c r="K3" t="s">
        <v>184</v>
      </c>
      <c r="L3" t="s">
        <v>185</v>
      </c>
    </row>
    <row r="4" spans="1:27">
      <c r="A4" s="58">
        <f>'Effluent Concentration'!A4</f>
        <v>0</v>
      </c>
      <c r="B4">
        <f>'Effluent Concentration'!AG4-'Influent Concentration'!N4</f>
        <v>0</v>
      </c>
      <c r="C4" s="58">
        <f>'Effluent Concentration'!AH4-'Influent Concentration'!O4</f>
        <v>-3.0200952491578548</v>
      </c>
      <c r="D4">
        <f>'Effluent Concentration'!AI4-'Influent Concentration'!P4</f>
        <v>0</v>
      </c>
      <c r="E4">
        <f>'Effluent Concentration'!Y4-'Influent Concentration'!Q4</f>
        <v>0</v>
      </c>
      <c r="F4">
        <f>'Effluent Concentration'!Z4</f>
        <v>0</v>
      </c>
      <c r="G4">
        <f>'Effluent Concentration'!AA4</f>
        <v>0.36469608659450459</v>
      </c>
      <c r="H4">
        <f>'Effluent Concentration'!AB4</f>
        <v>0</v>
      </c>
      <c r="I4">
        <f>'Effluent Concentration'!AC4</f>
        <v>0</v>
      </c>
      <c r="J4">
        <f>'Effluent Concentration'!AD4</f>
        <v>0.18726591760299627</v>
      </c>
      <c r="K4">
        <f>'Effluent Concentration'!AE4</f>
        <v>0</v>
      </c>
      <c r="L4">
        <f>'Effluent Concentration'!AF4</f>
        <v>0</v>
      </c>
    </row>
    <row r="5" spans="1:27">
      <c r="A5" s="58">
        <f>'Effluent Concentration'!A5</f>
        <v>1.9791666666642413</v>
      </c>
      <c r="B5">
        <f>'Effluent Concentration'!AG5-'Influent Concentration'!N5</f>
        <v>7.7095610660442153</v>
      </c>
      <c r="C5" s="58">
        <f>'Effluent Concentration'!AH5-'Influent Concentration'!O5</f>
        <v>-18.488790800325233</v>
      </c>
      <c r="D5">
        <f>'Effluent Concentration'!AI5-'Influent Concentration'!P5</f>
        <v>0</v>
      </c>
      <c r="E5">
        <f>'Effluent Concentration'!Y5-'Influent Concentration'!Q5</f>
        <v>0</v>
      </c>
      <c r="F5">
        <f>'Effluent Concentration'!Z5</f>
        <v>0</v>
      </c>
      <c r="G5">
        <f>'Effluent Concentration'!AA5</f>
        <v>7.5353871773522068</v>
      </c>
      <c r="H5">
        <f>'Effluent Concentration'!AB5</f>
        <v>0</v>
      </c>
      <c r="I5">
        <f>'Effluent Concentration'!AC5</f>
        <v>0</v>
      </c>
      <c r="J5">
        <f>'Effluent Concentration'!AD5</f>
        <v>2.7284076722278967</v>
      </c>
      <c r="K5">
        <f>'Effluent Concentration'!AE5</f>
        <v>0</v>
      </c>
      <c r="L5">
        <f>'Effluent Concentration'!AF5</f>
        <v>0</v>
      </c>
    </row>
    <row r="6" spans="1:27">
      <c r="A6" s="58">
        <f>'Effluent Concentration'!A6</f>
        <v>5.0034722222262644</v>
      </c>
      <c r="B6">
        <f>'Effluent Concentration'!AG6-'Influent Concentration'!N6</f>
        <v>7.8767008150464182E-2</v>
      </c>
      <c r="C6" s="58">
        <f>'Effluent Concentration'!AH6-'Influent Concentration'!O6</f>
        <v>-59.470321756301537</v>
      </c>
      <c r="D6">
        <f>'Effluent Concentration'!AI6-'Influent Concentration'!P6</f>
        <v>0</v>
      </c>
      <c r="E6">
        <f>'Effluent Concentration'!Y6-'Influent Concentration'!Q6</f>
        <v>0</v>
      </c>
      <c r="F6">
        <f>'Effluent Concentration'!Z6</f>
        <v>0</v>
      </c>
      <c r="G6">
        <f>'Effluent Concentration'!AA6</f>
        <v>62.92089925062448</v>
      </c>
      <c r="H6">
        <f>'Effluent Concentration'!AB6</f>
        <v>0</v>
      </c>
      <c r="I6">
        <f>'Effluent Concentration'!AC6</f>
        <v>0.16910679832028147</v>
      </c>
      <c r="J6">
        <f>'Effluent Concentration'!AD6</f>
        <v>22.601293837248893</v>
      </c>
      <c r="K6">
        <f>'Effluent Concentration'!AE6</f>
        <v>0.10770586507392539</v>
      </c>
      <c r="L6">
        <f>'Effluent Concentration'!AF6</f>
        <v>0.22555096418732787</v>
      </c>
    </row>
    <row r="7" spans="1:27">
      <c r="A7" s="58">
        <f>'Effluent Concentration'!A7</f>
        <v>7.015972222223354</v>
      </c>
      <c r="B7">
        <f>'Effluent Concentration'!AG7-'Influent Concentration'!N7</f>
        <v>0</v>
      </c>
      <c r="C7" s="58">
        <f>'Effluent Concentration'!AH7-'Influent Concentration'!O7</f>
        <v>-59.500522708793113</v>
      </c>
      <c r="D7">
        <f>'Effluent Concentration'!AI7-'Influent Concentration'!P7</f>
        <v>0</v>
      </c>
      <c r="E7">
        <f>'Effluent Concentration'!Y7-'Influent Concentration'!Q7</f>
        <v>0</v>
      </c>
      <c r="F7">
        <f>'Effluent Concentration'!Z7</f>
        <v>0</v>
      </c>
      <c r="G7">
        <f>'Effluent Concentration'!AA7</f>
        <v>61.605328892589512</v>
      </c>
      <c r="H7">
        <f>'Effluent Concentration'!AB7</f>
        <v>7.559395248380131E-2</v>
      </c>
      <c r="I7">
        <f>'Effluent Concentration'!AC7</f>
        <v>0.18045624787197823</v>
      </c>
      <c r="J7">
        <f>'Effluent Concentration'!AD7</f>
        <v>22.404948360004539</v>
      </c>
      <c r="K7">
        <f>'Effluent Concentration'!AE7</f>
        <v>0</v>
      </c>
      <c r="L7">
        <f>'Effluent Concentration'!AF7</f>
        <v>0.25998622589531678</v>
      </c>
    </row>
    <row r="8" spans="1:27">
      <c r="A8" s="58">
        <f>'Effluent Concentration'!A8</f>
        <v>9.0881944444481633</v>
      </c>
      <c r="B8">
        <f>'Effluent Concentration'!AG8-'Influent Concentration'!N8</f>
        <v>0</v>
      </c>
      <c r="C8" s="58">
        <f>'Effluent Concentration'!AH8-'Influent Concentration'!O8</f>
        <v>-59.500522708793113</v>
      </c>
      <c r="D8">
        <f>'Effluent Concentration'!AI8-'Influent Concentration'!P8</f>
        <v>0</v>
      </c>
      <c r="E8">
        <f>'Effluent Concentration'!Y8-'Influent Concentration'!Q8</f>
        <v>0</v>
      </c>
      <c r="F8">
        <f>'Effluent Concentration'!Z8</f>
        <v>0</v>
      </c>
      <c r="G8">
        <f>'Effluent Concentration'!AA8</f>
        <v>62.234804329725236</v>
      </c>
      <c r="H8">
        <f>'Effluent Concentration'!AB8</f>
        <v>0.19303455723542115</v>
      </c>
      <c r="I8">
        <f>'Effluent Concentration'!AC8</f>
        <v>0.17818635796163887</v>
      </c>
      <c r="J8">
        <f>'Effluent Concentration'!AD8</f>
        <v>22.732947452048577</v>
      </c>
      <c r="K8">
        <f>'Effluent Concentration'!AE8</f>
        <v>0</v>
      </c>
      <c r="L8">
        <f>'Effluent Concentration'!AF8</f>
        <v>0.29011707988980717</v>
      </c>
    </row>
    <row r="9" spans="1:27">
      <c r="A9" s="58">
        <f>'Effluent Concentration'!A9</f>
        <v>9.2743055555547471</v>
      </c>
      <c r="B9">
        <f>'Effluent Concentration'!AG9-'Influent Concentration'!N9</f>
        <v>0</v>
      </c>
      <c r="C9" s="58">
        <f>'Effluent Concentration'!AH9-'Influent Concentration'!O9</f>
        <v>-56.759205482634442</v>
      </c>
      <c r="D9">
        <f>'Effluent Concentration'!AI9-'Influent Concentration'!P9</f>
        <v>0</v>
      </c>
      <c r="E9">
        <f>'Effluent Concentration'!Y9-'Influent Concentration'!Q9</f>
        <v>0</v>
      </c>
      <c r="F9">
        <f>'Effluent Concentration'!Z9</f>
        <v>0</v>
      </c>
      <c r="G9">
        <f>'Effluent Concentration'!AA9</f>
        <v>56.922564529558699</v>
      </c>
      <c r="H9">
        <f>'Effluent Concentration'!AB9</f>
        <v>0.18898488120950324</v>
      </c>
      <c r="I9">
        <f>'Effluent Concentration'!AC9</f>
        <v>0.15548745885824539</v>
      </c>
      <c r="J9">
        <f>'Effluent Concentration'!AD9</f>
        <v>20.568607422540005</v>
      </c>
      <c r="K9">
        <f>'Effluent Concentration'!AE9</f>
        <v>0</v>
      </c>
      <c r="L9">
        <f>'Effluent Concentration'!AF9</f>
        <v>0.26515151515151514</v>
      </c>
    </row>
    <row r="10" spans="1:27">
      <c r="A10" s="111">
        <f>'Effluent Concentration'!A10</f>
        <v>11.993055555554747</v>
      </c>
      <c r="B10">
        <f>'Effluent Concentration'!AG10-'Influent Concentration'!N10</f>
        <v>0</v>
      </c>
      <c r="C10" s="58">
        <f>'Effluent Concentration'!AH10-'Influent Concentration'!O10</f>
        <v>-59.53536996166801</v>
      </c>
      <c r="D10">
        <f>'Effluent Concentration'!AI10-'Influent Concentration'!P10</f>
        <v>0</v>
      </c>
      <c r="E10">
        <f>'Effluent Concentration'!Y10-'Influent Concentration'!Q10</f>
        <v>0</v>
      </c>
      <c r="F10">
        <f>'Effluent Concentration'!Z10</f>
        <v>0</v>
      </c>
      <c r="G10">
        <f>'Effluent Concentration'!AA10</f>
        <v>59.397169025811827</v>
      </c>
      <c r="H10">
        <f>'Effluent Concentration'!AB10</f>
        <v>0.16738660907127431</v>
      </c>
      <c r="I10">
        <f>'Effluent Concentration'!AC10</f>
        <v>0.11576438542730677</v>
      </c>
      <c r="J10">
        <f>'Effluent Concentration'!AD10</f>
        <v>22.989445011916921</v>
      </c>
      <c r="K10">
        <f>'Effluent Concentration'!AE10</f>
        <v>0</v>
      </c>
      <c r="L10">
        <f>'Effluent Concentration'!AF10</f>
        <v>0.11449724517906337</v>
      </c>
      <c r="O10" s="82" t="s">
        <v>197</v>
      </c>
    </row>
    <row r="11" spans="1:27">
      <c r="A11" s="111">
        <f>'Effluent Concentration'!A11</f>
        <v>14.045138888890506</v>
      </c>
      <c r="B11">
        <f>'Effluent Concentration'!AG11-'Influent Concentration'!N11</f>
        <v>0</v>
      </c>
      <c r="C11" s="58">
        <f>'Effluent Concentration'!AH11-'Influent Concentration'!O11</f>
        <v>-59.794401208038089</v>
      </c>
      <c r="D11">
        <f>'Effluent Concentration'!AI11-'Influent Concentration'!P11</f>
        <v>0</v>
      </c>
      <c r="E11">
        <f>'Effluent Concentration'!Y11-'Influent Concentration'!Q11</f>
        <v>0</v>
      </c>
      <c r="F11">
        <f>'Effluent Concentration'!Z11</f>
        <v>0</v>
      </c>
      <c r="G11">
        <f>'Effluent Concentration'!AA11</f>
        <v>57.555370524562861</v>
      </c>
      <c r="H11">
        <f>'Effluent Concentration'!AB11</f>
        <v>0.17413606911447085</v>
      </c>
      <c r="I11">
        <f>'Effluent Concentration'!AC11</f>
        <v>0</v>
      </c>
      <c r="J11">
        <f>'Effluent Concentration'!AD11</f>
        <v>23.524004085801842</v>
      </c>
      <c r="K11">
        <f>'Effluent Concentration'!AE11</f>
        <v>0</v>
      </c>
      <c r="L11">
        <f>'Effluent Concentration'!AF11</f>
        <v>6.8009641873278237E-2</v>
      </c>
      <c r="O11" t="s">
        <v>317</v>
      </c>
      <c r="P11" t="s">
        <v>318</v>
      </c>
      <c r="Q11" t="s">
        <v>312</v>
      </c>
      <c r="R11" t="s">
        <v>319</v>
      </c>
      <c r="S11" t="s">
        <v>312</v>
      </c>
      <c r="T11" t="s">
        <v>320</v>
      </c>
      <c r="U11" t="s">
        <v>312</v>
      </c>
      <c r="V11" t="s">
        <v>321</v>
      </c>
      <c r="W11" t="s">
        <v>312</v>
      </c>
      <c r="X11" t="s">
        <v>322</v>
      </c>
      <c r="Y11" t="s">
        <v>312</v>
      </c>
      <c r="Z11" t="s">
        <v>323</v>
      </c>
      <c r="AA11" t="s">
        <v>312</v>
      </c>
    </row>
    <row r="12" spans="1:27">
      <c r="A12" s="111">
        <f>'Effluent Concentration'!A12</f>
        <v>16.038194444445253</v>
      </c>
      <c r="B12">
        <f>'Effluent Concentration'!AG12-'Influent Concentration'!N12</f>
        <v>0</v>
      </c>
      <c r="C12" s="58">
        <f>'Effluent Concentration'!AH12-'Influent Concentration'!O12</f>
        <v>-59.541177837147167</v>
      </c>
      <c r="D12">
        <f>'Effluent Concentration'!AI12-'Influent Concentration'!P12</f>
        <v>0</v>
      </c>
      <c r="E12">
        <f>'Effluent Concentration'!Y12-'Influent Concentration'!Q12</f>
        <v>0</v>
      </c>
      <c r="F12">
        <f>'Effluent Concentration'!Z12</f>
        <v>0</v>
      </c>
      <c r="G12">
        <f>'Effluent Concentration'!AA12</f>
        <v>56.935886761032478</v>
      </c>
      <c r="H12">
        <f>'Effluent Concentration'!AB12</f>
        <v>0.17143628509719222</v>
      </c>
      <c r="I12">
        <f>'Effluent Concentration'!AC12</f>
        <v>0</v>
      </c>
      <c r="J12">
        <f>'Effluent Concentration'!AD12</f>
        <v>24.267393031437972</v>
      </c>
      <c r="K12">
        <f>'Effluent Concentration'!AE12</f>
        <v>0</v>
      </c>
      <c r="L12">
        <f>'Effluent Concentration'!AF12</f>
        <v>0</v>
      </c>
      <c r="O12" t="s">
        <v>325</v>
      </c>
      <c r="P12" s="244" t="s">
        <v>326</v>
      </c>
      <c r="Q12" s="244"/>
      <c r="R12" s="244" t="s">
        <v>327</v>
      </c>
      <c r="S12" s="244"/>
      <c r="T12" s="244" t="s">
        <v>335</v>
      </c>
      <c r="U12" s="244"/>
      <c r="V12" s="244" t="s">
        <v>328</v>
      </c>
      <c r="W12" s="244"/>
      <c r="X12" s="244" t="s">
        <v>329</v>
      </c>
      <c r="Y12" s="244"/>
      <c r="Z12" s="244" t="s">
        <v>330</v>
      </c>
      <c r="AA12" s="244"/>
    </row>
    <row r="13" spans="1:27">
      <c r="A13" s="111">
        <f>'Effluent Concentration'!A13</f>
        <v>18.993055555554747</v>
      </c>
      <c r="B13">
        <f>'Effluent Concentration'!AG13-'Influent Concentration'!N13</f>
        <v>0</v>
      </c>
      <c r="C13" s="58">
        <f>'Effluent Concentration'!AH13-'Influent Concentration'!O13</f>
        <v>-55.042397490997793</v>
      </c>
      <c r="D13">
        <f>'Effluent Concentration'!AI13-'Influent Concentration'!P13</f>
        <v>0</v>
      </c>
      <c r="E13">
        <f>'Effluent Concentration'!Y13-'Influent Concentration'!Q13</f>
        <v>0</v>
      </c>
      <c r="F13">
        <f>'Effluent Concentration'!Z13</f>
        <v>0</v>
      </c>
      <c r="G13">
        <f>'Effluent Concentration'!AA13</f>
        <v>56.964196502914241</v>
      </c>
      <c r="H13">
        <f>'Effluent Concentration'!AB13</f>
        <v>0.17008639308855292</v>
      </c>
      <c r="I13">
        <f>'Effluent Concentration'!AC13</f>
        <v>0</v>
      </c>
      <c r="J13">
        <f>'Effluent Concentration'!AD13</f>
        <v>24.349109068210193</v>
      </c>
      <c r="K13">
        <f>'Effluent Concentration'!AE13</f>
        <v>0</v>
      </c>
      <c r="L13">
        <f>'Effluent Concentration'!AF13</f>
        <v>0</v>
      </c>
      <c r="O13" t="s">
        <v>180</v>
      </c>
      <c r="P13" s="79">
        <f>AVERAGE(G10:G17)</f>
        <v>56.93796835970025</v>
      </c>
      <c r="Q13" s="79">
        <f>STDEVA(G10:G17)</f>
        <v>1.2891489426370784</v>
      </c>
      <c r="R13" s="79">
        <f>AVERAGE(G21:G29)</f>
        <v>104.56323434175225</v>
      </c>
      <c r="S13" s="79">
        <f>STDEVA(G21:G29)</f>
        <v>2.2204185396158898</v>
      </c>
      <c r="T13" s="79">
        <f>AVERAGE(G32:G37)</f>
        <v>85.306133777407737</v>
      </c>
      <c r="U13" s="79">
        <f>STDEVA(G32:G37)</f>
        <v>2.860123946515722</v>
      </c>
      <c r="V13" s="79">
        <f>AVERAGE(G41:G46)</f>
        <v>69.907021926172632</v>
      </c>
      <c r="W13" s="79">
        <f>STDEVA(G41:G46)</f>
        <v>3.1847243686188476</v>
      </c>
      <c r="X13" s="79">
        <f>AVERAGE(G47:G54)</f>
        <v>68.652997502081604</v>
      </c>
      <c r="Y13" s="79">
        <f>STDEVA(G47:G54)</f>
        <v>2.5031790190706902</v>
      </c>
      <c r="Z13" s="79">
        <f>AVERAGE(G56:G64)</f>
        <v>60.57618651124065</v>
      </c>
      <c r="AA13" s="79">
        <f>STDEVA(G56:G64)</f>
        <v>8.674202991090505</v>
      </c>
    </row>
    <row r="14" spans="1:27">
      <c r="A14" s="111">
        <f>'Effluent Concentration'!A14</f>
        <v>21.045138888890506</v>
      </c>
      <c r="B14">
        <f>'Effluent Concentration'!AG14-'Influent Concentration'!N14</f>
        <v>0</v>
      </c>
      <c r="C14" s="58">
        <f>'Effluent Concentration'!AH14-'Influent Concentration'!O14</f>
        <v>-54.948309908235565</v>
      </c>
      <c r="D14">
        <f>'Effluent Concentration'!AI14-'Influent Concentration'!P14</f>
        <v>0</v>
      </c>
      <c r="E14">
        <f>'Effluent Concentration'!Y14-'Influent Concentration'!Q14</f>
        <v>0</v>
      </c>
      <c r="F14">
        <f>'Effluent Concentration'!Z14</f>
        <v>0</v>
      </c>
      <c r="G14">
        <f>'Effluent Concentration'!AA14</f>
        <v>57.014154870940885</v>
      </c>
      <c r="H14">
        <f>'Effluent Concentration'!AB14</f>
        <v>0.15793736501079914</v>
      </c>
      <c r="I14">
        <f>'Effluent Concentration'!AC14</f>
        <v>0</v>
      </c>
      <c r="J14">
        <f>'Effluent Concentration'!AD14</f>
        <v>24.24809896720009</v>
      </c>
      <c r="K14">
        <f>'Effluent Concentration'!AE14</f>
        <v>0</v>
      </c>
      <c r="L14">
        <f>'Effluent Concentration'!AF14</f>
        <v>0</v>
      </c>
      <c r="O14" t="s">
        <v>181</v>
      </c>
      <c r="P14" s="79">
        <f>AVERAGE(H10:H17)</f>
        <v>0.15675620950323976</v>
      </c>
      <c r="Q14" s="79">
        <f>STDEVA(H10:H17)</f>
        <v>1.8402117105940797E-2</v>
      </c>
      <c r="R14" s="79">
        <f>AVERAGE(H21:H29)</f>
        <v>0.8213342932565395</v>
      </c>
      <c r="S14" s="79">
        <f>STDEVA(H21:H29)</f>
        <v>0.2030848610367515</v>
      </c>
      <c r="T14" s="79">
        <f>AVERAGE(H32:H37)</f>
        <v>1.1708063354931608</v>
      </c>
      <c r="U14" s="79">
        <f>STDEVA(H32:H37)</f>
        <v>0.16100916744634816</v>
      </c>
      <c r="V14" s="79">
        <f>AVERAGE(H41:H46)</f>
        <v>1.2077033837293019</v>
      </c>
      <c r="W14" s="79">
        <f>STDEVA(H41:H46)</f>
        <v>0.39812676649280487</v>
      </c>
      <c r="X14" s="79">
        <f>AVERAGE(H47:H54)</f>
        <v>1.3058517818574515</v>
      </c>
      <c r="Y14" s="79">
        <f>STDEVA(H47:H54)</f>
        <v>0.29953087085745772</v>
      </c>
      <c r="Z14" s="79">
        <f>AVERAGE(H56:H64)</f>
        <v>1.2176025917926565</v>
      </c>
      <c r="AA14" s="79">
        <f>STDEVA(H56:H64)</f>
        <v>0.20483249062491224</v>
      </c>
    </row>
    <row r="15" spans="1:27">
      <c r="A15" s="111">
        <f>'Effluent Concentration'!A15</f>
        <v>23.013888888890506</v>
      </c>
      <c r="B15">
        <f>'Effluent Concentration'!AG15-'Influent Concentration'!N15</f>
        <v>0</v>
      </c>
      <c r="C15" s="58">
        <f>'Effluent Concentration'!AH15-'Influent Concentration'!O15</f>
        <v>-54.758973167615288</v>
      </c>
      <c r="D15">
        <f>'Effluent Concentration'!AI15-'Influent Concentration'!P15</f>
        <v>0</v>
      </c>
      <c r="E15">
        <f>'Effluent Concentration'!Y15-'Influent Concentration'!Q15</f>
        <v>0</v>
      </c>
      <c r="F15">
        <f>'Effluent Concentration'!Z15</f>
        <v>0</v>
      </c>
      <c r="G15">
        <f>'Effluent Concentration'!AA15</f>
        <v>56.984179850124903</v>
      </c>
      <c r="H15">
        <f>'Effluent Concentration'!AB15</f>
        <v>0.13093952483801297</v>
      </c>
      <c r="I15">
        <f>'Effluent Concentration'!AC15</f>
        <v>0</v>
      </c>
      <c r="J15">
        <f>'Effluent Concentration'!AD15</f>
        <v>23.950743388945639</v>
      </c>
      <c r="K15">
        <f>'Effluent Concentration'!AE15</f>
        <v>0</v>
      </c>
      <c r="L15">
        <f>'Effluent Concentration'!AF15</f>
        <v>0</v>
      </c>
      <c r="O15" t="s">
        <v>182</v>
      </c>
      <c r="P15" s="79">
        <f>AVERAGE(I10:I17)</f>
        <v>1.4470548178413346E-2</v>
      </c>
      <c r="Q15" s="79">
        <f>STDEVA(I10:I17)</f>
        <v>4.0928890977770881E-2</v>
      </c>
      <c r="R15" s="79">
        <f>AVERAGE(I21:I29)</f>
        <v>0</v>
      </c>
      <c r="S15" s="79">
        <f>STDEVA(I21:I29)</f>
        <v>0</v>
      </c>
      <c r="T15" s="79">
        <f>AVERAGE(I32:I37)</f>
        <v>0.25120115007755456</v>
      </c>
      <c r="U15" s="79">
        <f>STDEVA(I32:I37)</f>
        <v>2.1518109390962437E-2</v>
      </c>
      <c r="V15" s="79">
        <f>AVERAGE(I41:I46)</f>
        <v>0.31702795747739565</v>
      </c>
      <c r="W15" s="79">
        <f>STDEVA(I41:I46)</f>
        <v>4.9806715933326633E-2</v>
      </c>
      <c r="X15" s="79">
        <f>AVERAGE(I47:I54)</f>
        <v>0.52349336057201223</v>
      </c>
      <c r="Y15" s="79">
        <f>STDEVA(I47:I54)</f>
        <v>9.0803196173341441E-2</v>
      </c>
      <c r="Z15" s="79">
        <f>AVERAGE(I56:I64)</f>
        <v>0.27364783919091029</v>
      </c>
      <c r="AA15" s="79">
        <f>STDEVA(I56:I64)</f>
        <v>4.9667441250789139E-2</v>
      </c>
    </row>
    <row r="16" spans="1:27">
      <c r="A16" s="111">
        <f>'Effluent Concentration'!A16</f>
        <v>26.003472222226264</v>
      </c>
      <c r="B16">
        <f>'Effluent Concentration'!AG16-'Influent Concentration'!N16</f>
        <v>0</v>
      </c>
      <c r="C16" s="58">
        <f>'Effluent Concentration'!AH16-'Influent Concentration'!O16</f>
        <v>-54.470902543849462</v>
      </c>
      <c r="D16">
        <f>'Effluent Concentration'!AI16-'Influent Concentration'!P16</f>
        <v>0</v>
      </c>
      <c r="E16">
        <f>'Effluent Concentration'!Y16-'Influent Concentration'!Q16</f>
        <v>0</v>
      </c>
      <c r="F16">
        <f>'Effluent Concentration'!Z16</f>
        <v>0</v>
      </c>
      <c r="G16">
        <f>'Effluent Concentration'!AA16</f>
        <v>55.298917568692758</v>
      </c>
      <c r="H16">
        <f>'Effluent Concentration'!AB16</f>
        <v>0.15523758099352053</v>
      </c>
      <c r="I16">
        <f>'Effluent Concentration'!AC16</f>
        <v>0</v>
      </c>
      <c r="J16">
        <f>'Effluent Concentration'!AD16</f>
        <v>23.000794461468619</v>
      </c>
      <c r="K16">
        <f>'Effluent Concentration'!AE16</f>
        <v>0</v>
      </c>
      <c r="L16">
        <f>'Effluent Concentration'!AF16</f>
        <v>0</v>
      </c>
      <c r="O16" t="s">
        <v>183</v>
      </c>
      <c r="P16" s="79">
        <f>AVERAGE(J10:J17)</f>
        <v>23.702899784360461</v>
      </c>
      <c r="Q16" s="79">
        <f>STDEVA(J10:J17)</f>
        <v>0.57276258461972529</v>
      </c>
      <c r="R16" s="79">
        <f>AVERAGE(J21:J29)</f>
        <v>43.395503095877636</v>
      </c>
      <c r="S16" s="79">
        <f>STDEVA(J21:J29)</f>
        <v>0.82448298268863141</v>
      </c>
      <c r="T16" s="79">
        <f>AVERAGE(J32:J37)</f>
        <v>79.951197366927701</v>
      </c>
      <c r="U16" s="79">
        <f>STDEVA(J32:J37)</f>
        <v>1.9423784981601848</v>
      </c>
      <c r="V16" s="79">
        <f>AVERAGE(J41:J46)</f>
        <v>89.006544849241479</v>
      </c>
      <c r="W16" s="79">
        <f>STDEVA(J41:J46)</f>
        <v>3.2022644105651401</v>
      </c>
      <c r="X16" s="79">
        <f>AVERAGE(J47:J54)</f>
        <v>88.350783112019059</v>
      </c>
      <c r="Y16" s="79">
        <f>STDEVA(J47:J54)</f>
        <v>3.0292755419170763</v>
      </c>
      <c r="Z16" s="79">
        <f>AVERAGE(J56:J64)</f>
        <v>104.12287670714636</v>
      </c>
      <c r="AA16" s="79">
        <f>STDEVA(J56:J64)</f>
        <v>9.3352511430362739</v>
      </c>
    </row>
    <row r="17" spans="1:27">
      <c r="A17" s="111">
        <f>'Effluent Concentration'!A17</f>
        <v>28.02986111111386</v>
      </c>
      <c r="B17">
        <f>'Effluent Concentration'!AG17-'Influent Concentration'!N17</f>
        <v>0</v>
      </c>
      <c r="C17" s="58">
        <f>'Effluent Concentration'!AH17-'Influent Concentration'!O17</f>
        <v>-54.333836682541531</v>
      </c>
      <c r="D17">
        <f>'Effluent Concentration'!AI17-'Influent Concentration'!P17</f>
        <v>0</v>
      </c>
      <c r="E17">
        <f>'Effluent Concentration'!Y17-'Influent Concentration'!Q17</f>
        <v>0</v>
      </c>
      <c r="F17">
        <f>'Effluent Concentration'!Z17</f>
        <v>0</v>
      </c>
      <c r="G17">
        <f>'Effluent Concentration'!AA17</f>
        <v>55.353871773522066</v>
      </c>
      <c r="H17">
        <f>'Effluent Concentration'!AB17</f>
        <v>0.12688984881209503</v>
      </c>
      <c r="I17">
        <f>'Effluent Concentration'!AC17</f>
        <v>0</v>
      </c>
      <c r="J17">
        <f>'Effluent Concentration'!AD17</f>
        <v>23.293610259902398</v>
      </c>
      <c r="K17">
        <f>'Effluent Concentration'!AE17</f>
        <v>0</v>
      </c>
      <c r="L17">
        <f>'Effluent Concentration'!AF17</f>
        <v>0</v>
      </c>
      <c r="O17" t="s">
        <v>184</v>
      </c>
      <c r="P17" s="79">
        <f>AVERAGE(K10:K17)</f>
        <v>0</v>
      </c>
      <c r="Q17" s="79">
        <f>STDEVA(K10:K17)</f>
        <v>0</v>
      </c>
      <c r="R17" s="79">
        <f>AVERAGE(K21:K29)</f>
        <v>0.22650869806455828</v>
      </c>
      <c r="S17" s="79">
        <f>STDEVA(K21:K29)</f>
        <v>1.2691159695305702E-2</v>
      </c>
      <c r="T17" s="79">
        <f>AVERAGE(K32:K37)</f>
        <v>0.29798622670452696</v>
      </c>
      <c r="U17" s="79">
        <f>STDEVA(K32:K37)</f>
        <v>4.0426524153362738E-2</v>
      </c>
      <c r="V17" s="79">
        <f>AVERAGE(K41:K46)</f>
        <v>0.55550115865400307</v>
      </c>
      <c r="W17" s="79">
        <f>STDEVA(K41:K46)</f>
        <v>4.6007971913814866E-2</v>
      </c>
      <c r="X17" s="79">
        <f>AVERAGE(K47:K54)</f>
        <v>0.64084989718985619</v>
      </c>
      <c r="Y17" s="79">
        <f>STDEVA(K47:K54)</f>
        <v>7.8650857726558096E-2</v>
      </c>
      <c r="Z17" s="79">
        <f>AVERAGE(K56:K64)</f>
        <v>0.56877400263281019</v>
      </c>
      <c r="AA17" s="79">
        <f>STDEVA(K56:K64)</f>
        <v>5.121692883734854E-2</v>
      </c>
    </row>
    <row r="18" spans="1:27">
      <c r="A18" s="58">
        <f>'Effluent Concentration'!A18</f>
        <v>29.149305555554747</v>
      </c>
      <c r="B18">
        <f>'Effluent Concentration'!AG18-'Influent Concentration'!N18</f>
        <v>-44.904879231925612</v>
      </c>
      <c r="C18" s="58">
        <f>'Effluent Concentration'!AH18-'Influent Concentration'!O18</f>
        <v>-40.214891392728539</v>
      </c>
      <c r="D18">
        <f>'Effluent Concentration'!AI18-'Influent Concentration'!P18</f>
        <v>0</v>
      </c>
      <c r="E18">
        <f>'Effluent Concentration'!Y18-'Influent Concentration'!Q18</f>
        <v>0</v>
      </c>
      <c r="F18">
        <f>'Effluent Concentration'!Z18</f>
        <v>0</v>
      </c>
      <c r="G18">
        <f>'Effluent Concentration'!AA18</f>
        <v>41.765195670274771</v>
      </c>
      <c r="H18">
        <f>'Effluent Concentration'!AB18</f>
        <v>0.1808855291576674</v>
      </c>
      <c r="I18">
        <f>'Effluent Concentration'!AC18</f>
        <v>0</v>
      </c>
      <c r="J18">
        <f>'Effluent Concentration'!AD18</f>
        <v>17.060492566110543</v>
      </c>
      <c r="K18">
        <f>'Effluent Concentration'!AE18</f>
        <v>0</v>
      </c>
      <c r="L18">
        <f>'Effluent Concentration'!AF18</f>
        <v>0</v>
      </c>
      <c r="O18" t="s">
        <v>185</v>
      </c>
      <c r="P18" s="79">
        <f>AVERAGE(L10:L17)</f>
        <v>2.2813360881542701E-2</v>
      </c>
      <c r="Q18" s="79">
        <f>STDEVA(L10:L17)</f>
        <v>4.4031376902701182E-2</v>
      </c>
      <c r="R18" s="79">
        <f>AVERAGE(L21:L29)</f>
        <v>5.8348637894092427E-2</v>
      </c>
      <c r="S18" s="79">
        <f>STDEVA(L21:L29)</f>
        <v>7.2039092396666435E-2</v>
      </c>
      <c r="T18" s="79">
        <f>AVERAGE(L32:L37)</f>
        <v>1.0944674012855831</v>
      </c>
      <c r="U18" s="79">
        <f>STDEVA(L32:L37)</f>
        <v>0.15949388260427511</v>
      </c>
      <c r="V18" s="79">
        <f>AVERAGE(L41:L46)</f>
        <v>2.494834710743802</v>
      </c>
      <c r="W18" s="79">
        <f>STDEVA(L41:L46)</f>
        <v>1.0691418164398694</v>
      </c>
      <c r="X18" s="79">
        <f>AVERAGE(L47:L54)</f>
        <v>2.9773588154269977</v>
      </c>
      <c r="Y18" s="79">
        <f>STDEVA(L47:L54)</f>
        <v>1.3459219121557457</v>
      </c>
      <c r="Z18" s="79">
        <f>AVERAGE(L56:L64)</f>
        <v>0.96954392408937862</v>
      </c>
      <c r="AA18" s="79">
        <f>STDEVA(L56:L64)</f>
        <v>0.41621414191243244</v>
      </c>
    </row>
    <row r="19" spans="1:27">
      <c r="A19" s="58">
        <f>'Effluent Concentration'!A19</f>
        <v>29.990972222221899</v>
      </c>
      <c r="B19">
        <f>'Effluent Concentration'!AG19-'Influent Concentration'!N19</f>
        <v>-44.904879231925612</v>
      </c>
      <c r="C19" s="58">
        <f>'Effluent Concentration'!AH19-'Influent Concentration'!O19</f>
        <v>-41.353234986641887</v>
      </c>
      <c r="D19">
        <f>'Effluent Concentration'!AI19-'Influent Concentration'!P19</f>
        <v>0</v>
      </c>
      <c r="E19">
        <f>'Effluent Concentration'!Y19-'Influent Concentration'!Q19</f>
        <v>0</v>
      </c>
      <c r="F19">
        <f>'Effluent Concentration'!Z19</f>
        <v>0</v>
      </c>
      <c r="G19">
        <f>'Effluent Concentration'!AA19</f>
        <v>46.381348875936716</v>
      </c>
      <c r="H19">
        <f>'Effluent Concentration'!AB19</f>
        <v>0.60745140388768903</v>
      </c>
      <c r="I19">
        <f>'Effluent Concentration'!AC19</f>
        <v>0</v>
      </c>
      <c r="J19">
        <f>'Effluent Concentration'!AD19</f>
        <v>18.819657246623535</v>
      </c>
      <c r="K19">
        <f>'Effluent Concentration'!AE19</f>
        <v>0</v>
      </c>
      <c r="L19">
        <f>'Effluent Concentration'!AF19</f>
        <v>0</v>
      </c>
      <c r="O19" t="s">
        <v>196</v>
      </c>
      <c r="P19" s="79">
        <f>AVERAGE(E10:E17)</f>
        <v>0</v>
      </c>
      <c r="Q19" s="79">
        <f>STDEVA(E10:E17)</f>
        <v>0</v>
      </c>
      <c r="R19" s="79">
        <f>AVERAGE(E21:E29)</f>
        <v>0</v>
      </c>
      <c r="S19" s="79">
        <f>STDEVA(E21:E29)</f>
        <v>0</v>
      </c>
      <c r="T19" s="79">
        <f>AVERAGE(E32:E37)</f>
        <v>8.1039622586900534E-2</v>
      </c>
      <c r="U19" s="79">
        <f>STDEVA(E32:E37)</f>
        <v>0.19850572428563282</v>
      </c>
      <c r="V19" s="79">
        <f>AVERAGE(E41:E46)</f>
        <v>5.9332580822552168E-2</v>
      </c>
      <c r="W19" s="79">
        <f>STDEVA(E41:E46)</f>
        <v>0.14533454813769545</v>
      </c>
      <c r="X19" s="79">
        <f>AVERAGE(E47:E54)</f>
        <v>0.61295259182078676</v>
      </c>
      <c r="Y19" s="79">
        <f>STDEVA(E47:E54)</f>
        <v>0.5207207819782772</v>
      </c>
      <c r="Z19" s="79">
        <f>AVERAGE(E56:E64)</f>
        <v>-53.084811824066854</v>
      </c>
      <c r="AA19" s="79">
        <f>STDEVA(E56:E64)</f>
        <v>22.61133175820958</v>
      </c>
    </row>
    <row r="20" spans="1:27">
      <c r="A20" s="58">
        <f>'Effluent Concentration'!A20</f>
        <v>32.990972222221899</v>
      </c>
      <c r="B20">
        <f>'Effluent Concentration'!AG20-'Influent Concentration'!N20</f>
        <v>-44.393854252217722</v>
      </c>
      <c r="C20" s="58">
        <f>'Effluent Concentration'!AH20-'Influent Concentration'!O20</f>
        <v>-40.140550586595424</v>
      </c>
      <c r="D20">
        <f>'Effluent Concentration'!AI20-'Influent Concentration'!P20</f>
        <v>0</v>
      </c>
      <c r="E20">
        <f>'Effluent Concentration'!Y20-'Influent Concentration'!Q20</f>
        <v>0</v>
      </c>
      <c r="F20">
        <f>'Effluent Concentration'!Z20</f>
        <v>0</v>
      </c>
      <c r="G20">
        <f>'Effluent Concentration'!AA20</f>
        <v>92.279766860949209</v>
      </c>
      <c r="H20">
        <f>'Effluent Concentration'!AB20</f>
        <v>0.71544276457883371</v>
      </c>
      <c r="I20">
        <f>'Effluent Concentration'!AC20</f>
        <v>0</v>
      </c>
      <c r="J20">
        <f>'Effluent Concentration'!AD20</f>
        <v>38.318011576438543</v>
      </c>
      <c r="K20">
        <f>'Effluent Concentration'!AE20</f>
        <v>0.18212082639772842</v>
      </c>
      <c r="L20">
        <f>'Effluent Concentration'!AF20</f>
        <v>0</v>
      </c>
      <c r="O20" t="s">
        <v>324</v>
      </c>
      <c r="P20" s="79">
        <f>AVERAGE(F10:F17)</f>
        <v>0</v>
      </c>
      <c r="Q20" s="79">
        <f>STDEVA(F10:F17)</f>
        <v>0</v>
      </c>
      <c r="R20" s="79">
        <f>AVERAGE(F21:F29)</f>
        <v>0</v>
      </c>
      <c r="S20" s="79">
        <f>STDEVA(F21:F29)</f>
        <v>0</v>
      </c>
      <c r="T20" s="79">
        <f>AVERAGE(F32:F37)</f>
        <v>0</v>
      </c>
      <c r="U20" s="79">
        <f>STDEVA(F32:F37)</f>
        <v>0</v>
      </c>
      <c r="V20" s="79">
        <f>AVERAGE(F41:F46)</f>
        <v>0</v>
      </c>
      <c r="W20" s="79">
        <f>STDEVA(F41:F46)</f>
        <v>0</v>
      </c>
      <c r="X20" s="79">
        <f>AVERAGE(F47:F54)</f>
        <v>1.6189962223421478E-2</v>
      </c>
      <c r="Y20" s="79">
        <f>STDEVA(F47:F54)</f>
        <v>4.5792128301341446E-2</v>
      </c>
      <c r="Z20" s="79">
        <f>AVERAGE(F56:F64)</f>
        <v>1.6067038436169574</v>
      </c>
      <c r="AA20" s="79">
        <f>STDEVA(F56:F64)</f>
        <v>1.0781902627904645</v>
      </c>
    </row>
    <row r="21" spans="1:27">
      <c r="A21" s="113">
        <f>'Effluent Concentration'!A21</f>
        <v>35.002083333332848</v>
      </c>
      <c r="B21">
        <f>'Effluent Concentration'!AG21-'Influent Concentration'!N21</f>
        <v>-44.904879231925612</v>
      </c>
      <c r="C21" s="58">
        <f>'Effluent Concentration'!AH21-'Influent Concentration'!O21</f>
        <v>-39.860610988500412</v>
      </c>
      <c r="D21">
        <f>'Effluent Concentration'!AI21-'Influent Concentration'!P21</f>
        <v>0</v>
      </c>
      <c r="E21">
        <f>'Effluent Concentration'!Y21-'Influent Concentration'!Q21</f>
        <v>0</v>
      </c>
      <c r="F21">
        <f>'Effluent Concentration'!Z21</f>
        <v>0</v>
      </c>
      <c r="G21">
        <f>'Effluent Concentration'!AA21</f>
        <v>102.09825145711908</v>
      </c>
      <c r="H21">
        <f>'Effluent Concentration'!AB21</f>
        <v>0.36717062634989206</v>
      </c>
      <c r="I21">
        <f>'Effluent Concentration'!AC21</f>
        <v>0</v>
      </c>
      <c r="J21">
        <f>'Effluent Concentration'!AD21</f>
        <v>43.425263874702075</v>
      </c>
      <c r="K21">
        <f>'Effluent Concentration'!AE21</f>
        <v>0.20953686478018216</v>
      </c>
      <c r="L21">
        <f>'Effluent Concentration'!AF21</f>
        <v>0</v>
      </c>
      <c r="O21" t="s">
        <v>193</v>
      </c>
      <c r="P21" s="79">
        <f>AVERAGE(D10:D17)</f>
        <v>0</v>
      </c>
      <c r="Q21" s="79">
        <f>STDEVA(D10:D17)</f>
        <v>0</v>
      </c>
      <c r="R21" s="79">
        <f>AVERAGE(D21:D29)</f>
        <v>0</v>
      </c>
      <c r="S21" s="79">
        <f>STDEVA(D21:D29)</f>
        <v>0</v>
      </c>
      <c r="T21" s="79">
        <f>AVERAGE(D32:D37)</f>
        <v>-43.22158081705151</v>
      </c>
      <c r="U21" s="79">
        <f>STDEVA(D32:D37)</f>
        <v>0.49859291424759955</v>
      </c>
      <c r="V21" s="79">
        <f>AVERAGE(D41:D46)</f>
        <v>-59.096913854351698</v>
      </c>
      <c r="W21" s="79">
        <f>STDEVA(D41:D46)</f>
        <v>1.6528534922146312</v>
      </c>
      <c r="X21" s="79">
        <f>AVERAGE(D47:D54)</f>
        <v>-60.593777753108341</v>
      </c>
      <c r="Y21" s="79">
        <f>STDEVA(D47:D54)</f>
        <v>1.5937890167548576</v>
      </c>
      <c r="Z21" s="79">
        <f>AVERAGE(D56:D64)</f>
        <v>-59.727279455298998</v>
      </c>
      <c r="AA21" s="79">
        <f>STDEVA(D56:D64)</f>
        <v>2.6110555612723214</v>
      </c>
    </row>
    <row r="22" spans="1:27">
      <c r="A22" s="113">
        <f>'Effluent Concentration'!A22</f>
        <v>37.01875000000291</v>
      </c>
      <c r="B22">
        <f>'Effluent Concentration'!AG22-'Influent Concentration'!N22</f>
        <v>-44.904879231925612</v>
      </c>
      <c r="C22" s="58">
        <f>'Effluent Concentration'!AH22-'Influent Concentration'!O22</f>
        <v>-39.404111975839243</v>
      </c>
      <c r="D22">
        <f>'Effluent Concentration'!AI22-'Influent Concentration'!P22</f>
        <v>0</v>
      </c>
      <c r="E22">
        <f>'Effluent Concentration'!Y22-'Influent Concentration'!Q22</f>
        <v>0</v>
      </c>
      <c r="F22">
        <f>'Effluent Concentration'!Z22</f>
        <v>0</v>
      </c>
      <c r="G22">
        <f>'Effluent Concentration'!AA22</f>
        <v>101.26228143213989</v>
      </c>
      <c r="H22">
        <f>'Effluent Concentration'!AB22</f>
        <v>0.72084233261339092</v>
      </c>
      <c r="I22">
        <f>'Effluent Concentration'!AC22</f>
        <v>0</v>
      </c>
      <c r="J22">
        <f>'Effluent Concentration'!AD22</f>
        <v>42.117807286346611</v>
      </c>
      <c r="K22">
        <f>'Effluent Concentration'!AE22</f>
        <v>0.23499461470674632</v>
      </c>
      <c r="L22">
        <f>'Effluent Concentration'!AF22</f>
        <v>0</v>
      </c>
      <c r="O22" t="s">
        <v>315</v>
      </c>
      <c r="P22" s="79">
        <f>AVERAGE(B10:B17)</f>
        <v>0</v>
      </c>
      <c r="Q22" s="79">
        <f>STDEVA(B10:B17)</f>
        <v>0</v>
      </c>
      <c r="R22" s="79">
        <f>AVERAGE(B21:B29)</f>
        <v>-45.496592366324229</v>
      </c>
      <c r="S22" s="79">
        <f>STDEVA(B21:B29)</f>
        <v>0.70168545980134744</v>
      </c>
      <c r="T22" s="79">
        <f>AVERAGE(B32:B37)</f>
        <v>-46.101433335414583</v>
      </c>
      <c r="U22" s="79">
        <f>STDEVA(B32:B37)</f>
        <v>1.2320728809328161</v>
      </c>
      <c r="V22" s="79">
        <f>AVERAGE(B41:B46)</f>
        <v>-93.212108986643216</v>
      </c>
      <c r="W22" s="79">
        <f>STDEVA(B41:B46)</f>
        <v>2.6178791487084361</v>
      </c>
      <c r="X22" s="79">
        <f>AVERAGE(B47:B54)</f>
        <v>-96.371434472092943</v>
      </c>
      <c r="Y22" s="79">
        <f>STDEVA(B47:B54)</f>
        <v>1.4435649019374956</v>
      </c>
      <c r="Z22" s="79">
        <f>AVERAGE(B56:B64)</f>
        <v>-95.987952276585318</v>
      </c>
      <c r="AA22" s="79">
        <f>STDEVA(B56:B64)</f>
        <v>2.6882726216791375</v>
      </c>
    </row>
    <row r="23" spans="1:27">
      <c r="A23" s="113">
        <f>'Effluent Concentration'!A23</f>
        <v>40.011111111110949</v>
      </c>
      <c r="B23">
        <f>'Effluent Concentration'!AG23-'Influent Concentration'!N23</f>
        <v>-44.904879231925612</v>
      </c>
      <c r="C23" s="58">
        <f>'Effluent Concentration'!AH23-'Influent Concentration'!O23</f>
        <v>-40.082471831803929</v>
      </c>
      <c r="D23">
        <f>'Effluent Concentration'!AI23-'Influent Concentration'!P23</f>
        <v>0</v>
      </c>
      <c r="E23">
        <f>'Effluent Concentration'!Y23-'Influent Concentration'!Q23</f>
        <v>0</v>
      </c>
      <c r="F23">
        <f>'Effluent Concentration'!Z23</f>
        <v>0</v>
      </c>
      <c r="G23">
        <f>'Effluent Concentration'!AA23</f>
        <v>103.46044962531224</v>
      </c>
      <c r="H23">
        <f>'Effluent Concentration'!AB23</f>
        <v>0.7856371490280778</v>
      </c>
      <c r="I23">
        <f>'Effluent Concentration'!AC23</f>
        <v>0</v>
      </c>
      <c r="J23">
        <f>'Effluent Concentration'!AD23</f>
        <v>42.950856883441155</v>
      </c>
      <c r="K23">
        <f>'Effluent Concentration'!AE23</f>
        <v>0.21345344169196123</v>
      </c>
      <c r="L23">
        <f>'Effluent Concentration'!AF23</f>
        <v>0.1411845730027548</v>
      </c>
      <c r="O23" t="s">
        <v>192</v>
      </c>
      <c r="P23" s="79">
        <f>AVERAGE(C10:C17)</f>
        <v>-56.553171100011618</v>
      </c>
      <c r="Q23" s="79">
        <f>STDEVA(C10:C17)</f>
        <v>2.5541483647625678</v>
      </c>
      <c r="R23" s="79">
        <f>AVERAGE(C21:C29)</f>
        <v>-47.717117744995548</v>
      </c>
      <c r="S23" s="79">
        <f>STDEVA(C21:C29)</f>
        <v>9.1046804979251803</v>
      </c>
      <c r="T23" s="79">
        <f>AVERAGE(C32:C37)</f>
        <v>-56.732876447128973</v>
      </c>
      <c r="U23" s="79">
        <f>STDEVA(C32:C37)</f>
        <v>1.0461936605613966</v>
      </c>
      <c r="V23" s="79">
        <f>AVERAGE(C41:C46)</f>
        <v>-8.9754907654779874</v>
      </c>
      <c r="W23" s="79">
        <f>STDEVA(C41:C46)</f>
        <v>6.3158075631665936E-2</v>
      </c>
      <c r="X23" s="79">
        <f>AVERAGE(C47:C54)</f>
        <v>-9.3479207805784643</v>
      </c>
      <c r="Y23" s="79">
        <f>STDEVA(C47:C54)</f>
        <v>0.44912179141644881</v>
      </c>
      <c r="Z23" s="79">
        <f>AVERAGE(C56:C64)</f>
        <v>-9.4757424400820831</v>
      </c>
      <c r="AA23" s="79">
        <f>STDEVA(C56:C64)</f>
        <v>0.30986961557823317</v>
      </c>
    </row>
    <row r="24" spans="1:27">
      <c r="A24" s="113">
        <f>'Effluent Concentration'!A24</f>
        <v>42.029166666667152</v>
      </c>
      <c r="B24">
        <f>'Effluent Concentration'!AG24-'Influent Concentration'!N24</f>
        <v>-44.904879231925612</v>
      </c>
      <c r="C24" s="58">
        <f>'Effluent Concentration'!AH24-'Influent Concentration'!O24</f>
        <v>-40.281101173190848</v>
      </c>
      <c r="D24">
        <f>'Effluent Concentration'!AI24-'Influent Concentration'!P24</f>
        <v>0</v>
      </c>
      <c r="E24">
        <f>'Effluent Concentration'!Y24-'Influent Concentration'!Q24</f>
        <v>0</v>
      </c>
      <c r="F24">
        <f>'Effluent Concentration'!Z24</f>
        <v>0</v>
      </c>
      <c r="G24">
        <f>'Effluent Concentration'!AA24</f>
        <v>106.53122398001668</v>
      </c>
      <c r="H24">
        <f>'Effluent Concentration'!AB24</f>
        <v>0.75053995680345564</v>
      </c>
      <c r="I24">
        <f>'Effluent Concentration'!AC24</f>
        <v>0</v>
      </c>
      <c r="J24">
        <f>'Effluent Concentration'!AD24</f>
        <v>44.442174554534105</v>
      </c>
      <c r="K24">
        <f>'Effluent Concentration'!AE24</f>
        <v>0.24870263389797317</v>
      </c>
      <c r="L24">
        <f>'Effluent Concentration'!AF24</f>
        <v>0.14979338842975207</v>
      </c>
    </row>
    <row r="25" spans="1:27">
      <c r="A25" s="113">
        <f>'Effluent Concentration'!A25</f>
        <v>44.022222222221899</v>
      </c>
      <c r="B25">
        <f>'Effluent Concentration'!AG25-'Influent Concentration'!N25</f>
        <v>-44.904879231925612</v>
      </c>
      <c r="C25" s="58">
        <f>'Effluent Concentration'!AH25-'Influent Concentration'!O25</f>
        <v>-40.592403298873272</v>
      </c>
      <c r="D25">
        <f>'Effluent Concentration'!AI25-'Influent Concentration'!P25</f>
        <v>0</v>
      </c>
      <c r="E25">
        <f>'Effluent Concentration'!Y25-'Influent Concentration'!Q25</f>
        <v>0</v>
      </c>
      <c r="F25">
        <f>'Effluent Concentration'!Z25</f>
        <v>0</v>
      </c>
      <c r="G25">
        <f>'Effluent Concentration'!AA25</f>
        <v>106.73105745212324</v>
      </c>
      <c r="H25">
        <f>'Effluent Concentration'!AB25</f>
        <v>0.89902807775377969</v>
      </c>
      <c r="I25">
        <f>'Effluent Concentration'!AC25</f>
        <v>0</v>
      </c>
      <c r="J25">
        <f>'Effluent Concentration'!AD25</f>
        <v>43.815684939280445</v>
      </c>
      <c r="K25">
        <f>'Effluent Concentration'!AE25</f>
        <v>0.23499461470674632</v>
      </c>
      <c r="L25">
        <f>'Effluent Concentration'!AF25</f>
        <v>0.15151515151515152</v>
      </c>
    </row>
    <row r="26" spans="1:27">
      <c r="A26" s="113">
        <f>'Effluent Concentration'!A26</f>
        <v>46.997222222220444</v>
      </c>
      <c r="B26">
        <f>'Effluent Concentration'!AG26-'Influent Concentration'!N26</f>
        <v>-46.236233784322479</v>
      </c>
      <c r="C26" s="58">
        <f>'Effluent Concentration'!AH26-'Influent Concentration'!O26</f>
        <v>-57.309792078057839</v>
      </c>
      <c r="D26">
        <f>'Effluent Concentration'!AI26-'Influent Concentration'!P26</f>
        <v>0</v>
      </c>
      <c r="E26">
        <f>'Effluent Concentration'!Y26-'Influent Concentration'!Q26</f>
        <v>0</v>
      </c>
      <c r="F26">
        <f>'Effluent Concentration'!Z26</f>
        <v>0</v>
      </c>
      <c r="G26">
        <f>'Effluent Concentration'!AA26</f>
        <v>106.28143213988345</v>
      </c>
      <c r="H26">
        <f>'Effluent Concentration'!AB26</f>
        <v>0.98272138228941686</v>
      </c>
      <c r="I26">
        <f>'Effluent Concentration'!AC26</f>
        <v>0</v>
      </c>
      <c r="J26">
        <f>'Effluent Concentration'!AD26</f>
        <v>43.967767563273185</v>
      </c>
      <c r="K26">
        <f>'Effluent Concentration'!AE26</f>
        <v>0.21737001860374036</v>
      </c>
      <c r="L26">
        <f>'Effluent Concentration'!AF26</f>
        <v>8.2644628099173556E-2</v>
      </c>
    </row>
    <row r="27" spans="1:27">
      <c r="A27" s="113">
        <f>'Effluent Concentration'!A27</f>
        <v>48.994444444448163</v>
      </c>
      <c r="B27">
        <f>'Effluent Concentration'!AG27-'Influent Concentration'!N27</f>
        <v>-46.236233784322479</v>
      </c>
      <c r="C27" s="58">
        <f>'Effluent Concentration'!AH27-'Influent Concentration'!O27</f>
        <v>-57.197119293762334</v>
      </c>
      <c r="D27">
        <f>'Effluent Concentration'!AI27-'Influent Concentration'!P27</f>
        <v>0</v>
      </c>
      <c r="E27">
        <f>'Effluent Concentration'!Y27-'Influent Concentration'!Q27</f>
        <v>0</v>
      </c>
      <c r="F27">
        <f>'Effluent Concentration'!Z27</f>
        <v>0</v>
      </c>
      <c r="G27">
        <f>'Effluent Concentration'!AA27</f>
        <v>105.79517069109076</v>
      </c>
      <c r="H27">
        <f>'Effluent Concentration'!AB27</f>
        <v>0.88282937365010805</v>
      </c>
      <c r="I27">
        <f>'Effluent Concentration'!AC27</f>
        <v>0</v>
      </c>
      <c r="J27">
        <f>'Effluent Concentration'!AD27</f>
        <v>43.332198388378167</v>
      </c>
      <c r="K27">
        <f>'Effluent Concentration'!AE27</f>
        <v>0.22128659551551944</v>
      </c>
      <c r="L27">
        <f>'Effluent Concentration'!AF27</f>
        <v>0</v>
      </c>
    </row>
    <row r="28" spans="1:27">
      <c r="A28" s="113">
        <f>'Effluent Concentration'!A28</f>
        <v>50.971527777779556</v>
      </c>
      <c r="B28">
        <f>'Effluent Concentration'!AG28-'Influent Concentration'!N28</f>
        <v>-46.236233784322479</v>
      </c>
      <c r="C28" s="58">
        <f>'Effluent Concentration'!AH28-'Influent Concentration'!O28</f>
        <v>-57.399233360436746</v>
      </c>
      <c r="D28">
        <f>'Effluent Concentration'!AI28-'Influent Concentration'!P28</f>
        <v>0</v>
      </c>
      <c r="E28">
        <f>'Effluent Concentration'!Y28-'Influent Concentration'!Q28</f>
        <v>0</v>
      </c>
      <c r="F28">
        <f>'Effluent Concentration'!Z28</f>
        <v>0</v>
      </c>
      <c r="G28">
        <f>'Effluent Concentration'!AA28</f>
        <v>102.43130724396337</v>
      </c>
      <c r="H28">
        <f>'Effluent Concentration'!AB28</f>
        <v>1.0583153347732182</v>
      </c>
      <c r="I28">
        <f>'Effluent Concentration'!AC28</f>
        <v>0</v>
      </c>
      <c r="J28">
        <f>'Effluent Concentration'!AD28</f>
        <v>42.263080240608332</v>
      </c>
      <c r="K28">
        <f>'Effluent Concentration'!AE28</f>
        <v>0.23499461470674632</v>
      </c>
      <c r="L28">
        <f>'Effluent Concentration'!AF28</f>
        <v>0</v>
      </c>
    </row>
    <row r="29" spans="1:27">
      <c r="A29" s="113">
        <f>'Effluent Concentration'!A29</f>
        <v>53.979166666664241</v>
      </c>
      <c r="B29">
        <f>'Effluent Concentration'!AG29-'Influent Concentration'!N29</f>
        <v>-46.236233784322479</v>
      </c>
      <c r="C29" s="58">
        <f>'Effluent Concentration'!AH29-'Influent Concentration'!O29</f>
        <v>-57.327215704495288</v>
      </c>
      <c r="D29">
        <f>'Effluent Concentration'!AI29-'Influent Concentration'!P29</f>
        <v>0</v>
      </c>
      <c r="E29">
        <f>'Effluent Concentration'!Y29-'Influent Concentration'!Q29</f>
        <v>0</v>
      </c>
      <c r="F29">
        <f>'Effluent Concentration'!Z29</f>
        <v>0</v>
      </c>
      <c r="G29">
        <f>'Effluent Concentration'!AA29</f>
        <v>106.47793505412157</v>
      </c>
      <c r="H29">
        <f>'Effluent Concentration'!AB29</f>
        <v>0.94492440604751626</v>
      </c>
      <c r="I29">
        <f>'Effluent Concentration'!AC29</f>
        <v>0</v>
      </c>
      <c r="J29">
        <f>'Effluent Concentration'!AD29</f>
        <v>44.24469413233458</v>
      </c>
      <c r="K29">
        <f>'Effluent Concentration'!AE29</f>
        <v>0.22324488397140896</v>
      </c>
      <c r="L29">
        <f>'Effluent Concentration'!AF29</f>
        <v>0</v>
      </c>
    </row>
    <row r="30" spans="1:27">
      <c r="A30" s="58">
        <f>'Effluent Concentration'!A30</f>
        <v>56.019444444442343</v>
      </c>
      <c r="B30">
        <f>'Effluent Concentration'!AG30-'Influent Concentration'!N30</f>
        <v>-43.010628743233958</v>
      </c>
      <c r="C30" s="58">
        <f>'Effluent Concentration'!AH30-'Influent Concentration'!O30</f>
        <v>-54.628876756882327</v>
      </c>
      <c r="D30">
        <f>'Effluent Concentration'!AI30-'Influent Concentration'!P30</f>
        <v>-40.930284191829486</v>
      </c>
      <c r="E30">
        <f>'Effluent Concentration'!Y30-'Influent Concentration'!Q30</f>
        <v>0</v>
      </c>
      <c r="F30">
        <f>'Effluent Concentration'!Z30</f>
        <v>0</v>
      </c>
      <c r="G30">
        <f>'Effluent Concentration'!AA30</f>
        <v>96.599500416319742</v>
      </c>
      <c r="H30">
        <f>'Effluent Concentration'!AB30</f>
        <v>0.96652267818574511</v>
      </c>
      <c r="I30">
        <f>'Effluent Concentration'!AC30</f>
        <v>0.22244921121325617</v>
      </c>
      <c r="J30">
        <f>'Effluent Concentration'!AD30</f>
        <v>62.921348314606739</v>
      </c>
      <c r="K30">
        <f>'Effluent Concentration'!AE30</f>
        <v>0.25653578772153141</v>
      </c>
      <c r="L30">
        <f>'Effluent Concentration'!AF30</f>
        <v>0.13946280991735541</v>
      </c>
    </row>
    <row r="31" spans="1:27">
      <c r="A31" s="58">
        <f>'Effluent Concentration'!A31</f>
        <v>57.995833333334303</v>
      </c>
      <c r="B31">
        <f>'Effluent Concentration'!AG31-'Influent Concentration'!N31</f>
        <v>-42.977008678779491</v>
      </c>
      <c r="C31" s="58">
        <f>'Effluent Concentration'!AH31-'Influent Concentration'!O31</f>
        <v>-54.607968405157393</v>
      </c>
      <c r="D31">
        <f>'Effluent Concentration'!AI31-'Influent Concentration'!P31</f>
        <v>-40.930284191829486</v>
      </c>
      <c r="E31">
        <f>'Effluent Concentration'!Y31-'Influent Concentration'!Q31</f>
        <v>0.25614309281931058</v>
      </c>
      <c r="F31">
        <f>'Effluent Concentration'!Z31</f>
        <v>0</v>
      </c>
      <c r="G31">
        <f>'Effluent Concentration'!AA31</f>
        <v>90.800999167360544</v>
      </c>
      <c r="H31">
        <f>'Effluent Concentration'!AB31</f>
        <v>0.96112311015118801</v>
      </c>
      <c r="I31">
        <f>'Effluent Concentration'!AC31</f>
        <v>0.26784700942004308</v>
      </c>
      <c r="J31">
        <f>'Effluent Concentration'!AD31</f>
        <v>71.52423107479288</v>
      </c>
      <c r="K31">
        <f>'Effluent Concentration'!AE31</f>
        <v>0.22520317242729856</v>
      </c>
      <c r="L31">
        <f>'Effluent Concentration'!AF31</f>
        <v>0.41150137741046838</v>
      </c>
    </row>
    <row r="32" spans="1:27">
      <c r="A32" s="194">
        <f>'Effluent Concentration'!A32</f>
        <v>61.00138888888614</v>
      </c>
      <c r="B32">
        <f>'Effluent Concentration'!AG32-'Influent Concentration'!N32</f>
        <v>-45.028793183772073</v>
      </c>
      <c r="C32" s="58">
        <f>'Effluent Concentration'!AH32-'Influent Concentration'!O32</f>
        <v>-57.648972006040189</v>
      </c>
      <c r="D32">
        <f>'Effluent Concentration'!AI32-'Influent Concentration'!P32</f>
        <v>-42.766429840142095</v>
      </c>
      <c r="E32">
        <f>'Effluent Concentration'!Y32-'Influent Concentration'!Q32</f>
        <v>0.4862377355214032</v>
      </c>
      <c r="F32">
        <f>'Effluent Concentration'!Z32</f>
        <v>0</v>
      </c>
      <c r="G32">
        <f>'Effluent Concentration'!AA32</f>
        <v>82.830974188176526</v>
      </c>
      <c r="H32">
        <f>'Effluent Concentration'!AB32</f>
        <v>1.0394168466522677</v>
      </c>
      <c r="I32">
        <f>'Effluent Concentration'!AC32</f>
        <v>0.27011689933038247</v>
      </c>
      <c r="J32">
        <f>'Effluent Concentration'!AD32</f>
        <v>78.411077062762459</v>
      </c>
      <c r="K32">
        <f>'Effluent Concentration'!AE32</f>
        <v>0.240869480074415</v>
      </c>
      <c r="L32">
        <f>'Effluent Concentration'!AF32</f>
        <v>0.85571625344352609</v>
      </c>
    </row>
    <row r="33" spans="1:12">
      <c r="A33" s="194">
        <f>'Effluent Concentration'!A33</f>
        <v>62.996527777781012</v>
      </c>
      <c r="B33">
        <f>'Effluent Concentration'!AG33-'Influent Concentration'!N33</f>
        <v>-44.964434774673528</v>
      </c>
      <c r="C33" s="58">
        <f>'Effluent Concentration'!AH33-'Influent Concentration'!O33</f>
        <v>-57.616447903356949</v>
      </c>
      <c r="D33">
        <f>'Effluent Concentration'!AI33-'Influent Concentration'!P33</f>
        <v>-42.766429840142095</v>
      </c>
      <c r="E33">
        <f>'Effluent Concentration'!Y33-'Influent Concentration'!Q33</f>
        <v>0</v>
      </c>
      <c r="F33">
        <f>'Effluent Concentration'!Z33</f>
        <v>0</v>
      </c>
      <c r="G33">
        <f>'Effluent Concentration'!AA33</f>
        <v>81.045795170691093</v>
      </c>
      <c r="H33">
        <f>'Effluent Concentration'!AB33</f>
        <v>0.9935205183585315</v>
      </c>
      <c r="I33">
        <f>'Effluent Concentration'!AC33</f>
        <v>0.2156395414822381</v>
      </c>
      <c r="J33">
        <f>'Effluent Concentration'!AD33</f>
        <v>77.244353648848033</v>
      </c>
      <c r="K33">
        <f>'Effluent Concentration'!AE33</f>
        <v>0.27416038382453739</v>
      </c>
      <c r="L33">
        <f>'Effluent Concentration'!AF33</f>
        <v>1.0502754820936639</v>
      </c>
    </row>
    <row r="34" spans="1:12">
      <c r="A34" s="194">
        <f>'Effluent Concentration'!A34</f>
        <v>65.071527777778101</v>
      </c>
      <c r="B34">
        <f>'Effluent Concentration'!AG34-'Influent Concentration'!N34</f>
        <v>-44.93849929638008</v>
      </c>
      <c r="C34" s="58">
        <f>'Effluent Concentration'!AH34-'Influent Concentration'!O34</f>
        <v>-57.793007317923099</v>
      </c>
      <c r="D34">
        <f>'Effluent Concentration'!AI34-'Influent Concentration'!P34</f>
        <v>-42.766429840142095</v>
      </c>
      <c r="E34">
        <f>'Effluent Concentration'!Y34-'Influent Concentration'!Q34</f>
        <v>0</v>
      </c>
      <c r="F34">
        <f>'Effluent Concentration'!Z34</f>
        <v>0</v>
      </c>
      <c r="G34">
        <f>'Effluent Concentration'!AA34</f>
        <v>85.015820149875111</v>
      </c>
      <c r="H34">
        <f>'Effluent Concentration'!AB34</f>
        <v>1.1906047516198706</v>
      </c>
      <c r="I34">
        <f>'Effluent Concentration'!AC34</f>
        <v>0.23606855067529225</v>
      </c>
      <c r="J34">
        <f>'Effluent Concentration'!AD34</f>
        <v>79.775280898876403</v>
      </c>
      <c r="K34">
        <f>'Effluent Concentration'!AE34</f>
        <v>0.297659845295212</v>
      </c>
      <c r="L34">
        <f>'Effluent Concentration'!AF34</f>
        <v>1.1363636363636365</v>
      </c>
    </row>
    <row r="35" spans="1:12">
      <c r="A35" s="194">
        <f>'Effluent Concentration'!A35</f>
        <v>67.984722222223354</v>
      </c>
      <c r="B35">
        <f>'Effluent Concentration'!AG35-'Influent Concentration'!N35</f>
        <v>-47.19488590790985</v>
      </c>
      <c r="C35" s="58">
        <f>'Effluent Concentration'!AH35-'Influent Concentration'!O35</f>
        <v>-55.81252177953305</v>
      </c>
      <c r="D35">
        <f>'Effluent Concentration'!AI35-'Influent Concentration'!P35</f>
        <v>-43.676731793960926</v>
      </c>
      <c r="E35">
        <f>'Effluent Concentration'!Y35-'Influent Concentration'!Q35</f>
        <v>0</v>
      </c>
      <c r="F35">
        <f>'Effluent Concentration'!Z35</f>
        <v>0</v>
      </c>
      <c r="G35">
        <f>'Effluent Concentration'!AA35</f>
        <v>87.413821815154037</v>
      </c>
      <c r="H35">
        <f>'Effluent Concentration'!AB35</f>
        <v>1.2122030237580996</v>
      </c>
      <c r="I35">
        <f>'Effluent Concentration'!AC35</f>
        <v>0.25422766995800705</v>
      </c>
      <c r="J35">
        <f>'Effluent Concentration'!AD35</f>
        <v>80.136193394620364</v>
      </c>
      <c r="K35">
        <f>'Effluent Concentration'!AE35</f>
        <v>0.2898266914716538</v>
      </c>
      <c r="L35">
        <f>'Effluent Concentration'!AF35</f>
        <v>1.2086776859504131</v>
      </c>
    </row>
    <row r="36" spans="1:12">
      <c r="A36" s="194">
        <f>'Effluent Concentration'!A36</f>
        <v>70.167361111110949</v>
      </c>
      <c r="B36">
        <f>'Effluent Concentration'!AG36-'Influent Concentration'!N36</f>
        <v>-47.267889476439549</v>
      </c>
      <c r="C36" s="58">
        <f>'Effluent Concentration'!AH36-'Influent Concentration'!O36</f>
        <v>-55.740504123591592</v>
      </c>
      <c r="D36">
        <f>'Effluent Concentration'!AI36-'Influent Concentration'!P36</f>
        <v>-43.676731793960926</v>
      </c>
      <c r="E36">
        <f>'Effluent Concentration'!Y36-'Influent Concentration'!Q36</f>
        <v>0</v>
      </c>
      <c r="F36">
        <f>'Effluent Concentration'!Z36</f>
        <v>0</v>
      </c>
      <c r="G36">
        <f>'Effluent Concentration'!AA36</f>
        <v>87.810158201498751</v>
      </c>
      <c r="H36">
        <f>'Effluent Concentration'!AB36</f>
        <v>1.4497840172786178</v>
      </c>
      <c r="I36">
        <f>'Effluent Concentration'!AC36</f>
        <v>0.26103733968902509</v>
      </c>
      <c r="J36">
        <f>'Effluent Concentration'!AD36</f>
        <v>81.82499148791284</v>
      </c>
      <c r="K36">
        <f>'Effluent Concentration'!AE36</f>
        <v>0.33095074904533439</v>
      </c>
      <c r="L36">
        <f>'Effluent Concentration'!AF36</f>
        <v>1.0072314049586777</v>
      </c>
    </row>
    <row r="37" spans="1:12">
      <c r="A37" s="194">
        <f>'Effluent Concentration'!A37</f>
        <v>72.156944444446708</v>
      </c>
      <c r="B37">
        <f>'Effluent Concentration'!AG37-'Influent Concentration'!N37</f>
        <v>-47.214097373312399</v>
      </c>
      <c r="C37" s="58">
        <f>'Effluent Concentration'!AH37-'Influent Concentration'!O37</f>
        <v>-55.785805552328959</v>
      </c>
      <c r="D37">
        <f>'Effluent Concentration'!AI37-'Influent Concentration'!P37</f>
        <v>-43.676731793960926</v>
      </c>
      <c r="E37">
        <f>'Effluent Concentration'!Y37-'Influent Concentration'!Q37</f>
        <v>0</v>
      </c>
      <c r="F37">
        <f>'Effluent Concentration'!Z37</f>
        <v>0</v>
      </c>
      <c r="G37">
        <f>'Effluent Concentration'!AA37</f>
        <v>87.720233139050805</v>
      </c>
      <c r="H37">
        <f>'Effluent Concentration'!AB37</f>
        <v>1.1393088552915767</v>
      </c>
      <c r="I37">
        <f>'Effluent Concentration'!AC37</f>
        <v>0.27011689933038247</v>
      </c>
      <c r="J37">
        <f>'Effluent Concentration'!AD37</f>
        <v>82.315287708546123</v>
      </c>
      <c r="K37">
        <f>'Effluent Concentration'!AE37</f>
        <v>0.35445021051600906</v>
      </c>
      <c r="L37">
        <f>'Effluent Concentration'!AF37</f>
        <v>1.3085399449035813</v>
      </c>
    </row>
    <row r="38" spans="1:12">
      <c r="A38" s="58">
        <f>'Effluent Concentration'!A38</f>
        <v>75.146527777775191</v>
      </c>
      <c r="B38">
        <f>'Effluent Concentration'!AG38-'Influent Concentration'!N38</f>
        <v>-97.888179665624435</v>
      </c>
      <c r="C38" s="58">
        <f>'Effluent Concentration'!AH38-'Influent Concentration'!O38</f>
        <v>-9.0800325241026822</v>
      </c>
      <c r="D38">
        <f>'Effluent Concentration'!AI38-'Influent Concentration'!P38</f>
        <v>-63.079484902309069</v>
      </c>
      <c r="E38">
        <f>'Effluent Concentration'!Y38-'Influent Concentration'!Q38</f>
        <v>0</v>
      </c>
      <c r="F38">
        <f>'Effluent Concentration'!Z38</f>
        <v>0</v>
      </c>
      <c r="G38">
        <f>'Effluent Concentration'!AA38</f>
        <v>90.271440466278108</v>
      </c>
      <c r="H38">
        <f>'Effluent Concentration'!AB38</f>
        <v>1.209503239740821</v>
      </c>
      <c r="I38">
        <f>'Effluent Concentration'!AC38</f>
        <v>0.25422766995800705</v>
      </c>
      <c r="J38">
        <f>'Effluent Concentration'!AD38</f>
        <v>80.758143230053335</v>
      </c>
      <c r="K38">
        <f>'Effluent Concentration'!AE38</f>
        <v>0.37794967198668367</v>
      </c>
      <c r="L38">
        <f>'Effluent Concentration'!AF38</f>
        <v>1.5220385674931132</v>
      </c>
    </row>
    <row r="39" spans="1:12">
      <c r="A39" s="58">
        <f>'Effluent Concentration'!A39</f>
        <v>77.093055555553292</v>
      </c>
      <c r="B39">
        <f>'Effluent Concentration'!AG39-'Influent Concentration'!N39</f>
        <v>-97.74313310183517</v>
      </c>
      <c r="C39" s="58">
        <f>'Effluent Concentration'!AH39-'Influent Concentration'!O39</f>
        <v>-9.1021024509234518</v>
      </c>
      <c r="D39">
        <f>'Effluent Concentration'!AI39-'Influent Concentration'!P39</f>
        <v>-62.717584369449391</v>
      </c>
      <c r="E39">
        <f>'Effluent Concentration'!Y39-'Influent Concentration'!Q39</f>
        <v>0</v>
      </c>
      <c r="F39">
        <f>'Effluent Concentration'!Z39</f>
        <v>0</v>
      </c>
      <c r="G39">
        <f>'Effluent Concentration'!AA39</f>
        <v>80.023313905079107</v>
      </c>
      <c r="H39">
        <f>'Effluent Concentration'!AB39</f>
        <v>1.1393088552915767</v>
      </c>
      <c r="I39">
        <f>'Effluent Concentration'!AC39</f>
        <v>0</v>
      </c>
      <c r="J39">
        <f>'Effluent Concentration'!AD39</f>
        <v>84.038134150493704</v>
      </c>
      <c r="K39">
        <f>'Effluent Concentration'!AE39</f>
        <v>0.42886517183981199</v>
      </c>
      <c r="L39">
        <f>'Effluent Concentration'!AF39</f>
        <v>1.6270661157024793</v>
      </c>
    </row>
    <row r="40" spans="1:12">
      <c r="A40" s="58">
        <f>'Effluent Concentration'!A40</f>
        <v>79.150000000001455</v>
      </c>
      <c r="B40">
        <f>'Effluent Concentration'!AG40-'Influent Concentration'!N40</f>
        <v>-97.850717308089457</v>
      </c>
      <c r="C40" s="58">
        <f>'Effluent Concentration'!AH40-'Influent Concentration'!O40</f>
        <v>-9.0962945754443023</v>
      </c>
      <c r="D40">
        <f>'Effluent Concentration'!AI40-'Influent Concentration'!P40</f>
        <v>-62.614342806394326</v>
      </c>
      <c r="E40">
        <f>'Effluent Concentration'!Y40-'Influent Concentration'!Q40</f>
        <v>0</v>
      </c>
      <c r="F40">
        <f>'Effluent Concentration'!Z40</f>
        <v>0</v>
      </c>
      <c r="G40">
        <f>'Effluent Concentration'!AA40</f>
        <v>76.909242298084934</v>
      </c>
      <c r="H40">
        <f>'Effluent Concentration'!AB40</f>
        <v>1.2446004319654429</v>
      </c>
      <c r="I40">
        <f>'Effluent Concentration'!AC40</f>
        <v>0.18386108273748727</v>
      </c>
      <c r="J40">
        <f>'Effluent Concentration'!AD40</f>
        <v>84.199296334127794</v>
      </c>
      <c r="K40">
        <f>'Effluent Concentration'!AE40</f>
        <v>0.49153040242827767</v>
      </c>
      <c r="L40">
        <f>'Effluent Concentration'!AF40</f>
        <v>1.8336776859504134</v>
      </c>
    </row>
    <row r="41" spans="1:12">
      <c r="A41" s="183">
        <f>'Effluent Concentration'!A41</f>
        <v>82.143055555556202</v>
      </c>
      <c r="B41">
        <f>'Effluent Concentration'!AG41-'Influent Concentration'!N41</f>
        <v>-97.659563227334075</v>
      </c>
      <c r="C41" s="58">
        <f>'Effluent Concentration'!AH41-'Influent Concentration'!O41</f>
        <v>-9.075386223719363</v>
      </c>
      <c r="D41">
        <f>'Effluent Concentration'!AI41-'Influent Concentration'!P41</f>
        <v>-62.438943161634114</v>
      </c>
      <c r="E41">
        <f>'Effluent Concentration'!Y41-'Influent Concentration'!Q41</f>
        <v>0</v>
      </c>
      <c r="F41">
        <f>'Effluent Concentration'!Z41</f>
        <v>0</v>
      </c>
      <c r="G41">
        <f>'Effluent Concentration'!AA41</f>
        <v>72.942547876769353</v>
      </c>
      <c r="H41">
        <f>'Effluent Concentration'!AB41</f>
        <v>1.1501079913606911</v>
      </c>
      <c r="I41">
        <f>'Effluent Concentration'!AC41</f>
        <v>0.25876744977868571</v>
      </c>
      <c r="J41">
        <f>'Effluent Concentration'!AD41</f>
        <v>86.64623765747362</v>
      </c>
      <c r="K41">
        <f>'Effluent Concentration'!AE41</f>
        <v>0.48369724860471958</v>
      </c>
      <c r="L41">
        <f>'Effluent Concentration'!AF41</f>
        <v>1.25</v>
      </c>
    </row>
    <row r="42" spans="1:12">
      <c r="A42" s="183">
        <f>'Effluent Concentration'!A42</f>
        <v>84.15763888888614</v>
      </c>
      <c r="B42">
        <f>'Effluent Concentration'!AG42-'Influent Concentration'!N42</f>
        <v>-91.805829719176401</v>
      </c>
      <c r="C42" s="58">
        <f>'Effluent Concentration'!AH42-'Influent Concentration'!O42</f>
        <v>-8.989429666627947</v>
      </c>
      <c r="D42">
        <f>'Effluent Concentration'!AI42-'Influent Concentration'!P42</f>
        <v>-58.412522202486677</v>
      </c>
      <c r="E42">
        <f>'Effluent Concentration'!Y42-'Influent Concentration'!Q42</f>
        <v>0</v>
      </c>
      <c r="F42">
        <f>'Effluent Concentration'!Z42</f>
        <v>0</v>
      </c>
      <c r="G42">
        <f>'Effluent Concentration'!AA42</f>
        <v>73.252289758534559</v>
      </c>
      <c r="H42">
        <f>'Effluent Concentration'!AB42</f>
        <v>1.298596112311015</v>
      </c>
      <c r="I42">
        <f>'Effluent Concentration'!AC42</f>
        <v>0.30189535807513335</v>
      </c>
      <c r="J42">
        <f>'Effluent Concentration'!AD42</f>
        <v>84.467143343547832</v>
      </c>
      <c r="K42">
        <f>'Effluent Concentration'!AE42</f>
        <v>0.53657103691373742</v>
      </c>
      <c r="L42">
        <f>'Effluent Concentration'!AF42</f>
        <v>1.5065426997245179</v>
      </c>
    </row>
    <row r="43" spans="1:12">
      <c r="A43" s="183">
        <f>'Effluent Concentration'!A43</f>
        <v>86.27986111111386</v>
      </c>
      <c r="B43">
        <f>'Effluent Concentration'!AG43-'Influent Concentration'!N43</f>
        <v>-91.573370987805518</v>
      </c>
      <c r="C43" s="58">
        <f>'Effluent Concentration'!AH43-'Influent Concentration'!O43</f>
        <v>-8.9801370658613084</v>
      </c>
      <c r="D43">
        <f>'Effluent Concentration'!AI43-'Influent Concentration'!P43</f>
        <v>-58.313721136767313</v>
      </c>
      <c r="E43">
        <f>'Effluent Concentration'!Y43-'Influent Concentration'!Q43</f>
        <v>0</v>
      </c>
      <c r="F43">
        <f>'Effluent Concentration'!Z43</f>
        <v>0</v>
      </c>
      <c r="G43">
        <f>'Effluent Concentration'!AA43</f>
        <v>71.940049958368036</v>
      </c>
      <c r="H43">
        <f>'Effluent Concentration'!AB43</f>
        <v>0.55075593952483803</v>
      </c>
      <c r="I43">
        <f>'Effluent Concentration'!AC43</f>
        <v>0.30643513789581206</v>
      </c>
      <c r="J43">
        <f>'Effluent Concentration'!AD43</f>
        <v>92.945182158665318</v>
      </c>
      <c r="K43">
        <f>'Effluent Concentration'!AE43</f>
        <v>0.60804856555370601</v>
      </c>
      <c r="L43">
        <f>'Effluent Concentration'!AF43</f>
        <v>2.1255165289256199</v>
      </c>
    </row>
    <row r="44" spans="1:12">
      <c r="A44" s="183">
        <f>'Effluent Concentration'!A44</f>
        <v>89.148611111115315</v>
      </c>
      <c r="B44">
        <f>'Effluent Concentration'!AG44-'Influent Concentration'!N44</f>
        <v>-91.496525126195309</v>
      </c>
      <c r="C44" s="58">
        <f>'Effluent Concentration'!AH44-'Influent Concentration'!O44</f>
        <v>-8.9627134394238581</v>
      </c>
      <c r="D44">
        <f>'Effluent Concentration'!AI44-'Influent Concentration'!P44</f>
        <v>-58.264875666074602</v>
      </c>
      <c r="E44">
        <f>'Effluent Concentration'!Y44-'Influent Concentration'!Q44</f>
        <v>0.35599548493531302</v>
      </c>
      <c r="F44">
        <f>'Effluent Concentration'!Z44</f>
        <v>0</v>
      </c>
      <c r="G44">
        <f>'Effluent Concentration'!AA44</f>
        <v>67.120732722731063</v>
      </c>
      <c r="H44">
        <f>'Effluent Concentration'!AB44</f>
        <v>1.2365010799136069</v>
      </c>
      <c r="I44">
        <f>'Effluent Concentration'!AC44</f>
        <v>0.3245942571785268</v>
      </c>
      <c r="J44">
        <f>'Effluent Concentration'!AD44</f>
        <v>88.026330722959941</v>
      </c>
      <c r="K44">
        <f>'Effluent Concentration'!AE44</f>
        <v>0.55811220992852251</v>
      </c>
      <c r="L44">
        <f>'Effluent Concentration'!AF44</f>
        <v>2.8271349862258957</v>
      </c>
    </row>
    <row r="45" spans="1:12">
      <c r="A45" s="183">
        <f>'Effluent Concentration'!A45</f>
        <v>91.1875</v>
      </c>
      <c r="B45">
        <f>'Effluent Concentration'!AG45-'Influent Concentration'!N45</f>
        <v>-91.520539457948502</v>
      </c>
      <c r="C45" s="58">
        <f>'Effluent Concentration'!AH45-'Influent Concentration'!O45</f>
        <v>-8.9673597398071792</v>
      </c>
      <c r="D45">
        <f>'Effluent Concentration'!AI45-'Influent Concentration'!P45</f>
        <v>-58.281527531083476</v>
      </c>
      <c r="E45">
        <f>'Effluent Concentration'!Y45-'Influent Concentration'!Q45</f>
        <v>0</v>
      </c>
      <c r="F45">
        <f>'Effluent Concentration'!Z45</f>
        <v>0</v>
      </c>
      <c r="G45">
        <f>'Effluent Concentration'!AA45</f>
        <v>65.958368026644465</v>
      </c>
      <c r="H45">
        <f>'Effluent Concentration'!AB45</f>
        <v>1.2122030237580996</v>
      </c>
      <c r="I45">
        <f>'Effluent Concentration'!AC45</f>
        <v>0.30189535807513335</v>
      </c>
      <c r="J45">
        <f>'Effluent Concentration'!AD45</f>
        <v>90.323459312223363</v>
      </c>
      <c r="K45">
        <f>'Effluent Concentration'!AE45</f>
        <v>0.54440419073729562</v>
      </c>
      <c r="L45">
        <f>'Effluent Concentration'!AF45</f>
        <v>3.2024793388429753</v>
      </c>
    </row>
    <row r="46" spans="1:12">
      <c r="A46" s="183">
        <f>'Effluent Concentration'!A46</f>
        <v>93.170833333337214</v>
      </c>
      <c r="B46">
        <f>'Effluent Concentration'!AG46-'Influent Concentration'!N46</f>
        <v>-95.216825401399561</v>
      </c>
      <c r="C46" s="58">
        <f>'Effluent Concentration'!AH46-'Influent Concentration'!O46</f>
        <v>-8.8779184574282723</v>
      </c>
      <c r="D46">
        <f>'Effluent Concentration'!AI46-'Influent Concentration'!P46</f>
        <v>-58.869893428063939</v>
      </c>
      <c r="E46">
        <f>'Effluent Concentration'!Y46-'Influent Concentration'!Q46</f>
        <v>0</v>
      </c>
      <c r="F46">
        <f>'Effluent Concentration'!Z46</f>
        <v>0</v>
      </c>
      <c r="G46">
        <f>'Effluent Concentration'!AA46</f>
        <v>68.228143213988332</v>
      </c>
      <c r="H46">
        <f>'Effluent Concentration'!AB46</f>
        <v>1.7980561555075596</v>
      </c>
      <c r="I46">
        <f>'Effluent Concentration'!AC46</f>
        <v>0.40858018386108275</v>
      </c>
      <c r="J46">
        <f>'Effluent Concentration'!AD46</f>
        <v>91.630915900578827</v>
      </c>
      <c r="K46">
        <f>'Effluent Concentration'!AE46</f>
        <v>0.60217370018603733</v>
      </c>
      <c r="L46">
        <f>'Effluent Concentration'!AF46</f>
        <v>4.0573347107438016</v>
      </c>
    </row>
    <row r="47" spans="1:12">
      <c r="A47" s="195">
        <f>'Effluent Concentration'!A47</f>
        <v>96.150694444448163</v>
      </c>
      <c r="B47">
        <f>'Effluent Concentration'!AG47-'Influent Concentration'!N47</f>
        <v>-95.263893491635812</v>
      </c>
      <c r="C47" s="58">
        <f>'Effluent Concentration'!AH47-'Influent Concentration'!O47</f>
        <v>-8.8837263329074219</v>
      </c>
      <c r="D47">
        <f>'Effluent Concentration'!AI47-'Influent Concentration'!P47</f>
        <v>-58.864342806394312</v>
      </c>
      <c r="E47">
        <f>'Effluent Concentration'!Y47-'Influent Concentration'!Q47</f>
        <v>0</v>
      </c>
      <c r="F47">
        <f>'Effluent Concentration'!Z47</f>
        <v>0</v>
      </c>
      <c r="G47">
        <f>'Effluent Concentration'!AA47</f>
        <v>64.915903413821809</v>
      </c>
      <c r="H47">
        <f>'Effluent Concentration'!AB47</f>
        <v>1.3120950323974083</v>
      </c>
      <c r="I47">
        <f>'Effluent Concentration'!AC47</f>
        <v>0.4131199636817614</v>
      </c>
      <c r="J47">
        <f>'Effluent Concentration'!AD47</f>
        <v>87.379412098513228</v>
      </c>
      <c r="K47">
        <f>'Effluent Concentration'!AE47</f>
        <v>0.57769509448741807</v>
      </c>
      <c r="L47">
        <f>'Effluent Concentration'!AF47</f>
        <v>4.6074380165289259</v>
      </c>
    </row>
    <row r="48" spans="1:12">
      <c r="A48" s="195">
        <f>'Effluent Concentration'!A48</f>
        <v>98.159722222226264</v>
      </c>
      <c r="B48">
        <f>'Effluent Concentration'!AG48-'Influent Concentration'!N48</f>
        <v>-94.965155204626129</v>
      </c>
      <c r="C48" s="58">
        <f>'Effluent Concentration'!AH48-'Influent Concentration'!O48</f>
        <v>-8.9127657103031694</v>
      </c>
      <c r="D48">
        <f>'Effluent Concentration'!AI48-'Influent Concentration'!P48</f>
        <v>-58.794404973357011</v>
      </c>
      <c r="E48">
        <f>'Effluent Concentration'!Y48-'Influent Concentration'!Q48</f>
        <v>0</v>
      </c>
      <c r="F48">
        <f>'Effluent Concentration'!Z48</f>
        <v>0</v>
      </c>
      <c r="G48">
        <f>'Effluent Concentration'!AA48</f>
        <v>66.93755203996669</v>
      </c>
      <c r="H48">
        <f>'Effluent Concentration'!AB48</f>
        <v>1.2769978401727864</v>
      </c>
      <c r="I48">
        <f>'Effluent Concentration'!AC48</f>
        <v>0.45851776188854837</v>
      </c>
      <c r="J48">
        <f>'Effluent Concentration'!AD48</f>
        <v>83.770287141073652</v>
      </c>
      <c r="K48">
        <f>'Effluent Concentration'!AE48</f>
        <v>0.51111328698717318</v>
      </c>
      <c r="L48">
        <f>'Effluent Concentration'!AF48</f>
        <v>4.5695592286501379</v>
      </c>
    </row>
    <row r="49" spans="1:12">
      <c r="A49" s="195">
        <f>'Effluent Concentration'!A49</f>
        <v>100.14930555555475</v>
      </c>
      <c r="B49">
        <f>'Effluent Concentration'!AG49-'Influent Concentration'!N49</f>
        <v>-95.287907823389006</v>
      </c>
      <c r="C49" s="58">
        <f>'Effluent Concentration'!AH49-'Influent Concentration'!O49</f>
        <v>-8.8697874317574623</v>
      </c>
      <c r="D49">
        <f>'Effluent Concentration'!AI49-'Influent Concentration'!P49</f>
        <v>-58.872113676731793</v>
      </c>
      <c r="E49">
        <f>'Effluent Concentration'!Y49-'Influent Concentration'!Q49</f>
        <v>0.27350872623078926</v>
      </c>
      <c r="F49">
        <f>'Effluent Concentration'!Z49</f>
        <v>0</v>
      </c>
      <c r="G49">
        <f>'Effluent Concentration'!AA49</f>
        <v>66.764363030807672</v>
      </c>
      <c r="H49">
        <f>'Effluent Concentration'!AB49</f>
        <v>1.3012958963282939</v>
      </c>
      <c r="I49">
        <f>'Effluent Concentration'!AC49</f>
        <v>0.42900919305413687</v>
      </c>
      <c r="J49">
        <f>'Effluent Concentration'!AD49</f>
        <v>88.552945182158666</v>
      </c>
      <c r="K49">
        <f>'Effluent Concentration'!AE49</f>
        <v>0.59923626750220316</v>
      </c>
      <c r="L49">
        <f>'Effluent Concentration'!AF49</f>
        <v>3.7465564738292017</v>
      </c>
    </row>
    <row r="50" spans="1:12">
      <c r="A50" s="195">
        <f>'Effluent Concentration'!A50</f>
        <v>103.13680555555766</v>
      </c>
      <c r="B50">
        <f>'Effluent Concentration'!AG50-'Influent Concentration'!N50</f>
        <v>-96.419463135599329</v>
      </c>
      <c r="C50" s="58">
        <f>'Effluent Concentration'!AH50-'Influent Concentration'!O50</f>
        <v>-9.7235451271924731</v>
      </c>
      <c r="D50">
        <f>'Effluent Concentration'!AI50-'Influent Concentration'!P50</f>
        <v>-61.16341030195381</v>
      </c>
      <c r="E50">
        <f>'Effluent Concentration'!Y50-'Influent Concentration'!Q50</f>
        <v>0.41243379352261877</v>
      </c>
      <c r="F50">
        <f>'Effluent Concentration'!Z50</f>
        <v>0</v>
      </c>
      <c r="G50">
        <f>'Effluent Concentration'!AA50</f>
        <v>67.843463780183185</v>
      </c>
      <c r="H50">
        <f>'Effluent Concentration'!AB50</f>
        <v>1.4848812095032398</v>
      </c>
      <c r="I50">
        <f>'Effluent Concentration'!AC50</f>
        <v>0.5561230280331404</v>
      </c>
      <c r="J50">
        <f>'Effluent Concentration'!AD50</f>
        <v>86.426058336170698</v>
      </c>
      <c r="K50">
        <f>'Effluent Concentration'!AE50</f>
        <v>0.62665230588465681</v>
      </c>
      <c r="L50">
        <f>'Effluent Concentration'!AF50</f>
        <v>3.3230027548209367</v>
      </c>
    </row>
    <row r="51" spans="1:12">
      <c r="A51" s="195">
        <f>'Effluent Concentration'!A51</f>
        <v>105.14166666667006</v>
      </c>
      <c r="B51">
        <f>'Effluent Concentration'!AG51-'Influent Concentration'!N51</f>
        <v>-96.62406524213651</v>
      </c>
      <c r="C51" s="58">
        <f>'Effluent Concentration'!AH51-'Influent Concentration'!O51</f>
        <v>-9.766523405738182</v>
      </c>
      <c r="D51">
        <f>'Effluent Concentration'!AI51-'Influent Concentration'!P51</f>
        <v>-61.304396092362339</v>
      </c>
      <c r="E51">
        <f>'Effluent Concentration'!Y51-'Influent Concentration'!Q51</f>
        <v>0.79881913692801954</v>
      </c>
      <c r="F51">
        <f>'Effluent Concentration'!Z51</f>
        <v>0</v>
      </c>
      <c r="G51">
        <f>'Effluent Concentration'!AA51</f>
        <v>71.257285595337223</v>
      </c>
      <c r="H51">
        <f>'Effluent Concentration'!AB51</f>
        <v>1.4767818574514038</v>
      </c>
      <c r="I51">
        <f>'Effluent Concentration'!AC51</f>
        <v>0.51072522982635338</v>
      </c>
      <c r="J51">
        <f>'Effluent Concentration'!AD51</f>
        <v>88.276018613097264</v>
      </c>
      <c r="K51">
        <f>'Effluent Concentration'!AE51</f>
        <v>0.65798492117888974</v>
      </c>
      <c r="L51">
        <f>'Effluent Concentration'!AF51</f>
        <v>2.9614325068870526</v>
      </c>
    </row>
    <row r="52" spans="1:12">
      <c r="A52" s="195">
        <f>'Effluent Concentration'!A52</f>
        <v>107.07916666667006</v>
      </c>
      <c r="B52">
        <f>'Effluent Concentration'!AG52-'Influent Concentration'!N52</f>
        <v>-96.494387850669284</v>
      </c>
      <c r="C52" s="58">
        <f>'Effluent Concentration'!AH52-'Influent Concentration'!O52</f>
        <v>-9.7723312812173315</v>
      </c>
      <c r="D52">
        <f>'Effluent Concentration'!AI52-'Influent Concentration'!P52</f>
        <v>-61.275532859680276</v>
      </c>
      <c r="E52">
        <f>'Effluent Concentration'!Y52-'Influent Concentration'!Q52</f>
        <v>1.0375965963358516</v>
      </c>
      <c r="F52">
        <f>'Effluent Concentration'!Z52</f>
        <v>0</v>
      </c>
      <c r="G52">
        <f>'Effluent Concentration'!AA52</f>
        <v>70.884263114071615</v>
      </c>
      <c r="H52">
        <f>'Effluent Concentration'!AB52</f>
        <v>1.4821814254859613</v>
      </c>
      <c r="I52">
        <f>'Effluent Concentration'!AC52</f>
        <v>0.6151401657019635</v>
      </c>
      <c r="J52">
        <f>'Effluent Concentration'!AD52</f>
        <v>87.227329474520474</v>
      </c>
      <c r="K52">
        <f>'Effluent Concentration'!AE52</f>
        <v>0.68148438264956424</v>
      </c>
      <c r="L52">
        <f>'Effluent Concentration'!AF52</f>
        <v>2.1160468319559227</v>
      </c>
    </row>
    <row r="53" spans="1:12">
      <c r="A53" s="195">
        <f>'Effluent Concentration'!A53</f>
        <v>110.29652777777665</v>
      </c>
      <c r="B53">
        <f>'Effluent Concentration'!AG53-'Influent Concentration'!N53</f>
        <v>-96.362789312661803</v>
      </c>
      <c r="C53" s="58">
        <f>'Effluent Concentration'!AH53-'Influent Concentration'!O53</f>
        <v>-9.7944012080381011</v>
      </c>
      <c r="D53">
        <f>'Effluent Concentration'!AI53-'Influent Concentration'!P53</f>
        <v>-61.266651865008875</v>
      </c>
      <c r="E53">
        <f>'Effluent Concentration'!Y53-'Influent Concentration'!Q53</f>
        <v>0.95728054180776256</v>
      </c>
      <c r="F53">
        <f>'Effluent Concentration'!Z53</f>
        <v>0</v>
      </c>
      <c r="G53">
        <f>'Effluent Concentration'!AA53</f>
        <v>71.965029142381354</v>
      </c>
      <c r="H53">
        <f>'Effluent Concentration'!AB53</f>
        <v>0.60340172786177115</v>
      </c>
      <c r="I53">
        <f>'Effluent Concentration'!AC53</f>
        <v>0.6741573033707865</v>
      </c>
      <c r="J53">
        <f>'Effluent Concentration'!AD53</f>
        <v>93.425263874702068</v>
      </c>
      <c r="K53">
        <f>'Effluent Concentration'!AE53</f>
        <v>0.72260844022324489</v>
      </c>
      <c r="L53">
        <f>'Effluent Concentration'!AF53</f>
        <v>1.4049586776859506</v>
      </c>
    </row>
    <row r="54" spans="1:12">
      <c r="A54" s="195">
        <f>'Effluent Concentration'!A54</f>
        <v>112.15347222222044</v>
      </c>
      <c r="B54">
        <f>'Effluent Concentration'!AG54-'Influent Concentration'!N54</f>
        <v>-99.553813716025729</v>
      </c>
      <c r="C54" s="58">
        <f>'Effluent Concentration'!AH54-'Influent Concentration'!O54</f>
        <v>-9.0602857474735732</v>
      </c>
      <c r="D54">
        <f>'Effluent Concentration'!AI54-'Influent Concentration'!P54</f>
        <v>-63.209369449378322</v>
      </c>
      <c r="E54">
        <f>'Effluent Concentration'!Y54-'Influent Concentration'!Q54</f>
        <v>1.4239819397412521</v>
      </c>
      <c r="F54">
        <f>'Effluent Concentration'!Z54</f>
        <v>0.12951969778737182</v>
      </c>
      <c r="G54">
        <f>'Effluent Concentration'!AA54</f>
        <v>68.656119900083254</v>
      </c>
      <c r="H54">
        <f>'Effluent Concentration'!AB54</f>
        <v>1.5091792656587473</v>
      </c>
      <c r="I54">
        <f>'Effluent Concentration'!AC54</f>
        <v>0.5311542390194075</v>
      </c>
      <c r="J54">
        <f>'Effluent Concentration'!AD54</f>
        <v>91.748950175916463</v>
      </c>
      <c r="K54">
        <f>'Effluent Concentration'!AE54</f>
        <v>0.75002447860569865</v>
      </c>
      <c r="L54">
        <f>'Effluent Concentration'!AF54</f>
        <v>1.0898760330578512</v>
      </c>
    </row>
    <row r="55" spans="1:12">
      <c r="A55" s="58">
        <f>'Effluent Concentration'!A55</f>
        <v>113.1916666666657</v>
      </c>
      <c r="B55">
        <f>'Effluent Concentration'!AG55-'Influent Concentration'!N55</f>
        <v>-99.579749194319177</v>
      </c>
      <c r="C55" s="58">
        <f>'Effluent Concentration'!AH55-'Influent Concentration'!O55</f>
        <v>-9.0777093739110217</v>
      </c>
      <c r="D55">
        <f>'Effluent Concentration'!AI55-'Influent Concentration'!P55</f>
        <v>-63.200488454706921</v>
      </c>
      <c r="E55">
        <f>'Effluent Concentration'!Y55-'Influent Concentration'!Q55</f>
        <v>-144.95962490231832</v>
      </c>
      <c r="F55">
        <f>'Effluent Concentration'!Z55</f>
        <v>0.14031300593631948</v>
      </c>
      <c r="G55">
        <f>'Effluent Concentration'!AA55</f>
        <v>68.133222314737722</v>
      </c>
      <c r="H55">
        <f>'Effluent Concentration'!AB55</f>
        <v>1.3417926565874729</v>
      </c>
      <c r="I55">
        <f>'Effluent Concentration'!AC55</f>
        <v>0.45397798206786971</v>
      </c>
      <c r="J55">
        <f>'Effluent Concentration'!AD55</f>
        <v>93.819089774145951</v>
      </c>
      <c r="K55">
        <f>'Effluent Concentration'!AE55</f>
        <v>0.67365122882600603</v>
      </c>
      <c r="L55">
        <f>'Effluent Concentration'!AF55</f>
        <v>0.97623966942148765</v>
      </c>
    </row>
    <row r="56" spans="1:12">
      <c r="A56" s="196">
        <f>'Effluent Concentration'!A56</f>
        <v>114.2770833333343</v>
      </c>
      <c r="B56">
        <f>'Effluent Concentration'!AG56-'Influent Concentration'!N56</f>
        <v>-99.621053844934664</v>
      </c>
      <c r="C56" s="58">
        <f>'Effluent Concentration'!AH56-'Influent Concentration'!O56</f>
        <v>-9.078870949006852</v>
      </c>
      <c r="D56">
        <f>'Effluent Concentration'!AI56-'Influent Concentration'!P56</f>
        <v>-63.198268206039067</v>
      </c>
      <c r="E56">
        <f>'Effluent Concentration'!Y56-'Influent Concentration'!Q56</f>
        <v>-106.70747590518364</v>
      </c>
      <c r="F56">
        <f>'Effluent Concentration'!Z56</f>
        <v>0.17808958445763626</v>
      </c>
      <c r="G56">
        <f>'Effluent Concentration'!AA56</f>
        <v>66.930890924229814</v>
      </c>
      <c r="H56">
        <f>'Effluent Concentration'!AB56</f>
        <v>1.2904967602591795</v>
      </c>
      <c r="I56">
        <f>'Effluent Concentration'!AC56</f>
        <v>0.37680172511633181</v>
      </c>
      <c r="J56">
        <f>'Effluent Concentration'!AD56</f>
        <v>90.096470321189429</v>
      </c>
      <c r="K56">
        <f>'Effluent Concentration'!AE56</f>
        <v>0.66777636345833746</v>
      </c>
      <c r="L56">
        <f>'Effluent Concentration'!AF56</f>
        <v>0.86604683195592291</v>
      </c>
    </row>
    <row r="57" spans="1:12">
      <c r="A57" s="196">
        <f>'Effluent Concentration'!A57</f>
        <v>117.28819444444525</v>
      </c>
      <c r="B57">
        <f>'Effluent Concentration'!AG57-'Influent Concentration'!N57</f>
        <v>-99.5422868367842</v>
      </c>
      <c r="C57" s="58">
        <f>'Effluent Concentration'!AH57-'Influent Concentration'!O57</f>
        <v>-9.070739923336042</v>
      </c>
      <c r="D57">
        <f>'Effluent Concentration'!AI57-'Influent Concentration'!P57</f>
        <v>-63.208259325044395</v>
      </c>
      <c r="E57">
        <f>'Effluent Concentration'!Y57-'Influent Concentration'!Q57</f>
        <v>-50.625162802813236</v>
      </c>
      <c r="F57">
        <f>'Effluent Concentration'!Z57</f>
        <v>0.44252563410685369</v>
      </c>
      <c r="G57">
        <f>'Effluent Concentration'!AA57</f>
        <v>67.450457951706909</v>
      </c>
      <c r="H57">
        <f>'Effluent Concentration'!AB57</f>
        <v>1.3984881209503239</v>
      </c>
      <c r="I57">
        <f>'Effluent Concentration'!AC57</f>
        <v>0.27011689933038247</v>
      </c>
      <c r="J57">
        <f>'Effluent Concentration'!AD57</f>
        <v>89.76506639427987</v>
      </c>
      <c r="K57">
        <f>'Effluent Concentration'!AE57</f>
        <v>0.59140311367864484</v>
      </c>
      <c r="L57">
        <f>'Effluent Concentration'!AF57</f>
        <v>0.53546831955922858</v>
      </c>
    </row>
    <row r="58" spans="1:12">
      <c r="A58" s="196">
        <f>'Effluent Concentration'!A58</f>
        <v>119.18194444444816</v>
      </c>
      <c r="B58">
        <f>'Effluent Concentration'!AG58-'Influent Concentration'!N58</f>
        <v>-99.552853142755595</v>
      </c>
      <c r="C58" s="58">
        <f>'Effluent Concentration'!AH58-'Influent Concentration'!O58</f>
        <v>-9.0451852712277834</v>
      </c>
      <c r="D58">
        <f>'Effluent Concentration'!AI58-'Influent Concentration'!P58</f>
        <v>-63.219360568383649</v>
      </c>
      <c r="E58">
        <f>'Effluent Concentration'!Y58-'Influent Concentration'!Q58</f>
        <v>-51.79300164973516</v>
      </c>
      <c r="F58">
        <f>'Effluent Concentration'!Z58</f>
        <v>0.63140852671343761</v>
      </c>
      <c r="G58">
        <f>'Effluent Concentration'!AA58</f>
        <v>57.898417985012493</v>
      </c>
      <c r="H58">
        <f>'Effluent Concentration'!AB58</f>
        <v>1.5091792656587473</v>
      </c>
      <c r="I58">
        <f>'Effluent Concentration'!AC58</f>
        <v>0.22925888094427418</v>
      </c>
      <c r="J58">
        <f>'Effluent Concentration'!AD58</f>
        <v>103.88605152650096</v>
      </c>
      <c r="K58">
        <f>'Effluent Concentration'!AE58</f>
        <v>0.62469401742876729</v>
      </c>
      <c r="L58">
        <f>'Effluent Concentration'!AF58</f>
        <v>0.56301652892561993</v>
      </c>
    </row>
    <row r="59" spans="1:12">
      <c r="A59" s="196">
        <f>'Effluent Concentration'!A59</f>
        <v>121.20138888889051</v>
      </c>
      <c r="B59">
        <f>'Effluent Concentration'!AG59-'Influent Concentration'!N59</f>
        <v>-94.218789773736972</v>
      </c>
      <c r="C59" s="58">
        <f>'Effluent Concentration'!AH59-'Influent Concentration'!O59</f>
        <v>-9.7479382042049014</v>
      </c>
      <c r="D59">
        <f>'Effluent Concentration'!AI59-'Influent Concentration'!P59</f>
        <v>-58.003996447602134</v>
      </c>
      <c r="E59">
        <f>'Effluent Concentration'!Y59-'Influent Concentration'!Q59</f>
        <v>-58.08370235304335</v>
      </c>
      <c r="F59">
        <f>'Effluent Concentration'!Z59</f>
        <v>0.87695628710199669</v>
      </c>
      <c r="G59">
        <f>'Effluent Concentration'!AA59</f>
        <v>45.442131557035808</v>
      </c>
      <c r="H59">
        <f>'Effluent Concentration'!AB59</f>
        <v>1.1231101511879051</v>
      </c>
      <c r="I59">
        <f>'Effluent Concentration'!AC59</f>
        <v>0.22925888094427418</v>
      </c>
      <c r="J59">
        <f>'Effluent Concentration'!AD59</f>
        <v>113.14947225059585</v>
      </c>
      <c r="K59">
        <f>'Effluent Concentration'!AE59</f>
        <v>0.55223734456085383</v>
      </c>
      <c r="L59">
        <f>'Effluent Concentration'!AF59</f>
        <v>0.62844352617079891</v>
      </c>
    </row>
    <row r="60" spans="1:12">
      <c r="A60" s="196">
        <f>'Effluent Concentration'!A60</f>
        <v>124.17569444444234</v>
      </c>
      <c r="B60">
        <f>'Effluent Concentration'!AG60-'Influent Concentration'!N60</f>
        <v>-94.202460028144799</v>
      </c>
      <c r="C60" s="58">
        <f>'Effluent Concentration'!AH60-'Influent Concentration'!O60</f>
        <v>-9.7026367754675338</v>
      </c>
      <c r="D60">
        <f>'Effluent Concentration'!AI60-'Influent Concentration'!P60</f>
        <v>-57.994005328596806</v>
      </c>
      <c r="E60">
        <f>'Effluent Concentration'!Y60-'Influent Concentration'!Q60</f>
        <v>-56.312407745072534</v>
      </c>
      <c r="F60">
        <f>'Effluent Concentration'!Z60</f>
        <v>1.8726389638424177</v>
      </c>
      <c r="G60">
        <f>'Effluent Concentration'!AA60</f>
        <v>50.507910074937556</v>
      </c>
      <c r="H60">
        <f>'Effluent Concentration'!AB60</f>
        <v>1.3363930885529158</v>
      </c>
      <c r="I60">
        <f>'Effluent Concentration'!AC60</f>
        <v>0.31778458744750882</v>
      </c>
      <c r="J60">
        <f>'Effluent Concentration'!AD60</f>
        <v>115.9437067302236</v>
      </c>
      <c r="K60">
        <f>'Effluent Concentration'!AE60</f>
        <v>0.5424459022814061</v>
      </c>
      <c r="L60">
        <f>'Effluent Concentration'!AF60</f>
        <v>0.86776859504132231</v>
      </c>
    </row>
    <row r="61" spans="1:12">
      <c r="A61" s="196">
        <f>'Effluent Concentration'!A61</f>
        <v>126.16180555555911</v>
      </c>
      <c r="B61">
        <f>'Effluent Concentration'!AG61-'Influent Concentration'!N61</f>
        <v>-94.140983338856628</v>
      </c>
      <c r="C61" s="58">
        <f>'Effluent Concentration'!AH61-'Influent Concentration'!O61</f>
        <v>-9.6492043210593561</v>
      </c>
      <c r="D61">
        <f>'Effluent Concentration'!AI61-'Influent Concentration'!P61</f>
        <v>-57.96625222024867</v>
      </c>
      <c r="E61">
        <f>'Effluent Concentration'!Y61-'Influent Concentration'!Q61</f>
        <v>-54.093948076756107</v>
      </c>
      <c r="F61">
        <f>'Effluent Concentration'!Z61</f>
        <v>2.1532649757150568</v>
      </c>
      <c r="G61">
        <f>'Effluent Concentration'!AA61</f>
        <v>55.653621981681937</v>
      </c>
      <c r="H61">
        <f>'Effluent Concentration'!AB61</f>
        <v>1.3498920086393089</v>
      </c>
      <c r="I61">
        <f>'Effluent Concentration'!AC61</f>
        <v>0.2950856883441153</v>
      </c>
      <c r="J61">
        <f>'Effluent Concentration'!AD61</f>
        <v>109.63341277948018</v>
      </c>
      <c r="K61">
        <f>'Effluent Concentration'!AE61</f>
        <v>0.53852932536962694</v>
      </c>
      <c r="L61">
        <f>'Effluent Concentration'!AF61</f>
        <v>0.95730027548209362</v>
      </c>
    </row>
    <row r="62" spans="1:12">
      <c r="A62" s="196">
        <f>'Effluent Concentration'!A62</f>
        <v>128.18472222222044</v>
      </c>
      <c r="B62">
        <f>'Effluent Concentration'!AG62-'Influent Concentration'!N62</f>
        <v>-94.198617735064289</v>
      </c>
      <c r="C62" s="58">
        <f>'Effluent Concentration'!AH62-'Influent Concentration'!O62</f>
        <v>-9.6364269950052268</v>
      </c>
      <c r="D62">
        <f>'Effluent Concentration'!AI62-'Influent Concentration'!P62</f>
        <v>-57.979573712255778</v>
      </c>
      <c r="E62">
        <f>'Effluent Concentration'!Y62-'Influent Concentration'!Q62</f>
        <v>-35.19579751671445</v>
      </c>
      <c r="F62">
        <f>'Effluent Concentration'!Z62</f>
        <v>2.7415002698327036</v>
      </c>
      <c r="G62">
        <f>'Effluent Concentration'!AA62</f>
        <v>63.04079933388843</v>
      </c>
      <c r="H62">
        <f>'Effluent Concentration'!AB62</f>
        <v>1.0529157667386608</v>
      </c>
      <c r="I62">
        <f>'Effluent Concentration'!AC62</f>
        <v>0.27011689933038247</v>
      </c>
      <c r="J62">
        <f>'Effluent Concentration'!AD62</f>
        <v>110.00340483486551</v>
      </c>
      <c r="K62">
        <f>'Effluent Concentration'!AE62</f>
        <v>0.56986194066385987</v>
      </c>
      <c r="L62">
        <f>'Effluent Concentration'!AF62</f>
        <v>1.0743801652892564</v>
      </c>
    </row>
    <row r="63" spans="1:12">
      <c r="A63" s="196">
        <f>'Effluent Concentration'!A63</f>
        <v>131.17083333333721</v>
      </c>
      <c r="B63">
        <f>'Effluent Concentration'!AG63-'Influent Concentration'!N63</f>
        <v>-94.224553213357737</v>
      </c>
      <c r="C63" s="58">
        <f>'Effluent Concentration'!AH63-'Influent Concentration'!O63</f>
        <v>-9.6689510976884652</v>
      </c>
      <c r="D63">
        <f>'Effluent Concentration'!AI63-'Influent Concentration'!P63</f>
        <v>-58.007326820603915</v>
      </c>
      <c r="E63">
        <f>'Effluent Concentration'!Y63-'Influent Concentration'!Q63</f>
        <v>-31.709646609360107</v>
      </c>
      <c r="F63">
        <f>'Effluent Concentration'!Z63</f>
        <v>2.7927684835402049</v>
      </c>
      <c r="G63">
        <f>'Effluent Concentration'!AA63</f>
        <v>68.97252289758535</v>
      </c>
      <c r="H63">
        <f>'Effluent Concentration'!AB63</f>
        <v>0.93142548596112318</v>
      </c>
      <c r="I63">
        <f>'Effluent Concentration'!AC63</f>
        <v>0.23152877085461354</v>
      </c>
      <c r="J63">
        <f>'Effluent Concentration'!AD63</f>
        <v>103.18919532402678</v>
      </c>
      <c r="K63">
        <f>'Effluent Concentration'!AE63</f>
        <v>0.50915499853128365</v>
      </c>
      <c r="L63">
        <f>'Effluent Concentration'!AF63</f>
        <v>1.4652203856749311</v>
      </c>
    </row>
    <row r="64" spans="1:12">
      <c r="A64" s="196">
        <f>'Effluent Concentration'!A64</f>
        <v>132.02500000000146</v>
      </c>
      <c r="B64">
        <f>'Effluent Concentration'!AG64-'Influent Concentration'!N64</f>
        <v>-94.189972575633135</v>
      </c>
      <c r="C64" s="58">
        <f>'Effluent Concentration'!AH64-'Influent Concentration'!O64</f>
        <v>-9.6817284237425945</v>
      </c>
      <c r="D64">
        <f>'Effluent Concentration'!AI64-'Influent Concentration'!P64</f>
        <v>-57.968472468916524</v>
      </c>
      <c r="E64">
        <f>'Effluent Concentration'!Y64-'Influent Concentration'!Q64</f>
        <v>-33.242163757923095</v>
      </c>
      <c r="F64">
        <f>'Effluent Concentration'!Z64</f>
        <v>2.7711818672423094</v>
      </c>
      <c r="G64">
        <f>'Effluent Concentration'!AA64</f>
        <v>69.288925895087431</v>
      </c>
      <c r="H64">
        <f>'Effluent Concentration'!AB64</f>
        <v>0.96652267818574511</v>
      </c>
      <c r="I64">
        <f>'Effluent Concentration'!AC64</f>
        <v>0.24287822040631032</v>
      </c>
      <c r="J64">
        <f>'Effluent Concentration'!AD64</f>
        <v>101.43911020315514</v>
      </c>
      <c r="K64">
        <f>'Effluent Concentration'!AE64</f>
        <v>0.52286301772251054</v>
      </c>
      <c r="L64">
        <f>'Effluent Concentration'!AF64</f>
        <v>1.7682506887052341</v>
      </c>
    </row>
  </sheetData>
  <mergeCells count="6">
    <mergeCell ref="Z12:AA12"/>
    <mergeCell ref="P12:Q12"/>
    <mergeCell ref="R12:S12"/>
    <mergeCell ref="T12:U12"/>
    <mergeCell ref="V12:W12"/>
    <mergeCell ref="X12:Y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44E03-00FA-4974-9A28-B33CDFED8145}">
  <dimension ref="A2:V6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9" sqref="C9"/>
    </sheetView>
  </sheetViews>
  <sheetFormatPr defaultRowHeight="15"/>
  <cols>
    <col min="1" max="1" width="10.42578125" bestFit="1" customWidth="1"/>
    <col min="2" max="2" width="15.28515625" customWidth="1"/>
    <col min="3" max="3" width="16.5703125" bestFit="1" customWidth="1"/>
    <col min="4" max="4" width="11.5703125" bestFit="1" customWidth="1"/>
    <col min="5" max="5" width="7.42578125" bestFit="1" customWidth="1"/>
    <col min="6" max="6" width="17.42578125" customWidth="1"/>
    <col min="10" max="10" width="18.5703125" bestFit="1" customWidth="1"/>
  </cols>
  <sheetData>
    <row r="2" spans="1:22" ht="52.5" customHeight="1">
      <c r="A2" s="80" t="s">
        <v>206</v>
      </c>
      <c r="B2" s="80" t="s">
        <v>207</v>
      </c>
      <c r="C2" s="80" t="s">
        <v>208</v>
      </c>
      <c r="D2" s="80" t="s">
        <v>209</v>
      </c>
      <c r="E2" s="80" t="s">
        <v>210</v>
      </c>
      <c r="F2" s="80" t="s">
        <v>211</v>
      </c>
      <c r="J2" t="s">
        <v>212</v>
      </c>
    </row>
    <row r="3" spans="1:22" ht="17.25">
      <c r="A3" s="58">
        <f>Rawdata!Y5</f>
        <v>0</v>
      </c>
      <c r="B3">
        <v>0</v>
      </c>
      <c r="C3">
        <v>0</v>
      </c>
      <c r="D3" s="59">
        <f>SUM(B3:C3)</f>
        <v>0</v>
      </c>
      <c r="F3" s="79">
        <f>C3*$K$3/56.1056*1000</f>
        <v>0</v>
      </c>
      <c r="J3" t="s">
        <v>213</v>
      </c>
      <c r="K3">
        <v>1.0389999999999999</v>
      </c>
      <c r="L3" t="s">
        <v>214</v>
      </c>
    </row>
    <row r="4" spans="1:22">
      <c r="A4" s="58">
        <f>Rawdata!Y6</f>
        <v>1.9791666666642413</v>
      </c>
      <c r="B4">
        <v>0</v>
      </c>
      <c r="C4" s="58">
        <f>IF((Rawdata!K5-Rawdata!K6)&lt;0,0, (Rawdata!K5-Rawdata!K6)/(Rawdata!Y6-Rawdata!Y5)/$K$3)</f>
        <v>0.97259510663206172</v>
      </c>
      <c r="D4" s="59">
        <f t="shared" ref="D4:D64" si="0">SUM(B4:C4)</f>
        <v>0.97259510663206172</v>
      </c>
      <c r="F4" s="79">
        <f t="shared" ref="F4:F64" si="1">C4*$K$3/56.1056*1000</f>
        <v>18.011148901191895</v>
      </c>
    </row>
    <row r="5" spans="1:22">
      <c r="A5" s="58">
        <f>Rawdata!Y7</f>
        <v>5.0034722222262644</v>
      </c>
      <c r="B5">
        <v>0</v>
      </c>
      <c r="C5" s="58">
        <f>IF((Rawdata!K6-Rawdata!K7)&lt;0,0, (Rawdata!K6-Rawdata!K7)/(Rawdata!Y7-Rawdata!Y6)/$K$3)</f>
        <v>12.411474868173363</v>
      </c>
      <c r="D5" s="59">
        <f t="shared" si="0"/>
        <v>12.411474868173363</v>
      </c>
      <c r="F5" s="79">
        <f t="shared" si="1"/>
        <v>229.84376582786965</v>
      </c>
    </row>
    <row r="6" spans="1:22">
      <c r="A6" s="58">
        <f>Rawdata!Y8</f>
        <v>7.015972222223354</v>
      </c>
      <c r="B6">
        <v>0</v>
      </c>
      <c r="C6" s="58">
        <f>IF((Rawdata!K7-Rawdata!K8)&lt;0,0, (Rawdata!K7-Rawdata!K8)/(Rawdata!Y8-Rawdata!Y7)/$K$3)</f>
        <v>2.8694576127349767</v>
      </c>
      <c r="D6" s="59">
        <f t="shared" si="0"/>
        <v>2.8694576127349767</v>
      </c>
      <c r="F6" s="79">
        <f t="shared" si="1"/>
        <v>53.138482783031293</v>
      </c>
    </row>
    <row r="7" spans="1:22">
      <c r="A7" s="58">
        <f>Rawdata!Y9</f>
        <v>9.0881944444481633</v>
      </c>
      <c r="B7">
        <v>0</v>
      </c>
      <c r="C7" s="58">
        <f>IF((Rawdata!K8-Rawdata!K9)&lt;0,0, (Rawdata!K8-Rawdata!K9)/(Rawdata!Y9-Rawdata!Y8)/$K$3)</f>
        <v>2.322298972766855</v>
      </c>
      <c r="D7" s="59">
        <f t="shared" si="0"/>
        <v>2.322298972766855</v>
      </c>
      <c r="F7" s="79">
        <f t="shared" si="1"/>
        <v>43.005843136955349</v>
      </c>
    </row>
    <row r="8" spans="1:22">
      <c r="A8" s="58">
        <f>Rawdata!Y10</f>
        <v>9.2743055555547471</v>
      </c>
      <c r="B8">
        <v>0</v>
      </c>
      <c r="C8" s="58">
        <f>IF((Rawdata!K9-Rawdata!K10)&lt;0,0, (Rawdata!K9-Rawdata!K10)/(Rawdata!Y10-Rawdata!Y9)/$K$3)</f>
        <v>0</v>
      </c>
      <c r="D8" s="59">
        <f t="shared" si="0"/>
        <v>0</v>
      </c>
      <c r="F8" s="79">
        <f t="shared" si="1"/>
        <v>0</v>
      </c>
    </row>
    <row r="9" spans="1:22">
      <c r="A9" s="142">
        <f>Rawdata!Y11</f>
        <v>11.993055555554747</v>
      </c>
      <c r="B9" s="58">
        <f>(Rawdata!R10-Rawdata!R11)/(Rawdata!Y11-Rawdata!Y10)</f>
        <v>462.49195402298835</v>
      </c>
      <c r="C9" s="58">
        <f>IF((Rawdata!K10-Rawdata!K11)&lt;0,0, (Rawdata!K10-Rawdata!K11)/(Rawdata!Y11-Rawdata!Y10)/$K$3)</f>
        <v>15.930437091367697</v>
      </c>
      <c r="D9" s="59">
        <f t="shared" si="0"/>
        <v>478.42239111435606</v>
      </c>
      <c r="E9" s="58">
        <f>AVERAGE(Rawdata!I10:I11)/1000/(D9/1000)</f>
        <v>3.0830496803554386</v>
      </c>
      <c r="F9" s="79">
        <f t="shared" si="1"/>
        <v>295.0101975191609</v>
      </c>
      <c r="G9" s="79"/>
    </row>
    <row r="10" spans="1:22">
      <c r="A10" s="142">
        <f>Rawdata!Y12</f>
        <v>14.045138888890506</v>
      </c>
      <c r="B10" s="58">
        <f>(Rawdata!R11-Rawdata!R12)/(Rawdata!Y12-Rawdata!Y11)</f>
        <v>455.09847715682281</v>
      </c>
      <c r="C10" s="58">
        <f>IF((Rawdata!K11-Rawdata!K12)&lt;0,0, (Rawdata!K11-Rawdata!K12)/(Rawdata!Y12-Rawdata!Y11)/$K$3)</f>
        <v>8.4423230067858963</v>
      </c>
      <c r="D10" s="59">
        <f t="shared" si="0"/>
        <v>463.54080016360871</v>
      </c>
      <c r="E10" s="58">
        <f>AVERAGE(Rawdata!I11:I12)/1000/(D10/1000)</f>
        <v>3.1280957350209868</v>
      </c>
      <c r="F10" s="79">
        <f t="shared" si="1"/>
        <v>156.34042954804056</v>
      </c>
      <c r="Q10" s="122">
        <v>54.225694444445253</v>
      </c>
      <c r="R10" s="122">
        <v>502.17464788073568</v>
      </c>
      <c r="S10" s="122">
        <v>27.328552643706107</v>
      </c>
      <c r="T10" s="123">
        <v>529.50320052444181</v>
      </c>
      <c r="U10" s="122">
        <v>3.0217003380060672</v>
      </c>
      <c r="V10" s="124">
        <v>506.08791630087978</v>
      </c>
    </row>
    <row r="11" spans="1:22">
      <c r="A11" s="142">
        <f>Rawdata!Y13</f>
        <v>16.038194444445253</v>
      </c>
      <c r="B11" s="58">
        <f>(Rawdata!R12-Rawdata!R13)/(Rawdata!Y13-Rawdata!Y12)</f>
        <v>472.59094076674205</v>
      </c>
      <c r="C11" s="58">
        <f>IF((Rawdata!K12-Rawdata!K13)&lt;0,0, (Rawdata!K12-Rawdata!K13)/(Rawdata!Y13-Rawdata!Y12)/$K$3)</f>
        <v>12.555626724978517</v>
      </c>
      <c r="D11" s="59">
        <f t="shared" si="0"/>
        <v>485.14656749172059</v>
      </c>
      <c r="E11" s="58">
        <f>AVERAGE(Rawdata!I12:I13)/1000/(D11/1000)</f>
        <v>2.9887875070346559</v>
      </c>
      <c r="F11" s="79">
        <f t="shared" si="1"/>
        <v>232.51326368941204</v>
      </c>
    </row>
    <row r="12" spans="1:22">
      <c r="A12" s="142">
        <f>Rawdata!Y14</f>
        <v>18.993055555554747</v>
      </c>
      <c r="B12" s="58">
        <f>(Rawdata!R13-Rawdata!S12+Rawdata!S13-Rawdata!R14)/(Rawdata!Y14-Rawdata!Y13)</f>
        <v>462.32291421881951</v>
      </c>
      <c r="C12" s="58">
        <f>IF((Rawdata!K13-Rawdata!K14)&lt;0,0, (Rawdata!K13-Rawdata!K14)/(Rawdata!Y14-Rawdata!Y13)/$K$3)</f>
        <v>13.354610835473482</v>
      </c>
      <c r="D12" s="59">
        <f t="shared" si="0"/>
        <v>475.67752505429297</v>
      </c>
      <c r="E12" s="58">
        <f>AVERAGE(Rawdata!I13:I14)/1000/(D12/1000)</f>
        <v>2.9957269892819789</v>
      </c>
      <c r="F12" s="79">
        <f t="shared" si="1"/>
        <v>247.30937122242605</v>
      </c>
    </row>
    <row r="13" spans="1:22">
      <c r="A13" s="142">
        <f>Rawdata!Y15</f>
        <v>21.045138888890506</v>
      </c>
      <c r="B13" s="58">
        <f>(Rawdata!R14-Rawdata!R15)/(Rawdata!Y15-Rawdata!Y14)</f>
        <v>519.66700507552775</v>
      </c>
      <c r="C13" s="58">
        <f>IF((Rawdata!K14-Rawdata!K15)&lt;0,0, (Rawdata!K14-Rawdata!K15)/(Rawdata!Y15-Rawdata!Y14)/$K$3)</f>
        <v>10.318394786071652</v>
      </c>
      <c r="D13" s="59">
        <f t="shared" si="0"/>
        <v>529.98539986159938</v>
      </c>
      <c r="E13" s="58">
        <f>AVERAGE(Rawdata!I14:I15)/1000/(D13/1000)</f>
        <v>2.735924424292921</v>
      </c>
      <c r="F13" s="79">
        <f t="shared" si="1"/>
        <v>191.08274722538295</v>
      </c>
    </row>
    <row r="14" spans="1:22">
      <c r="A14" s="142">
        <f>Rawdata!Y16</f>
        <v>23.013888888890506</v>
      </c>
      <c r="B14" s="58">
        <f>(Rawdata!R15-Rawdata!R16)/(Rawdata!Y16-Rawdata!Y15)</f>
        <v>511.59365079365068</v>
      </c>
      <c r="C14" s="58">
        <f>IF((Rawdata!K15-Rawdata!K16)&lt;0,0, (Rawdata!K15-Rawdata!K16)/(Rawdata!Y16-Rawdata!Y15)/$K$3)</f>
        <v>13.688375574804834</v>
      </c>
      <c r="D14" s="59">
        <f t="shared" si="0"/>
        <v>525.28202636845549</v>
      </c>
      <c r="E14" s="58">
        <f>AVERAGE(Rawdata!I15:I16)/1000/(D14/1000)</f>
        <v>2.9032023245552652</v>
      </c>
      <c r="F14" s="79">
        <f t="shared" si="1"/>
        <v>253.49024379424196</v>
      </c>
    </row>
    <row r="15" spans="1:22">
      <c r="A15" s="142">
        <f>Rawdata!Y17</f>
        <v>26.003472222226264</v>
      </c>
      <c r="B15" s="58">
        <f>(Rawdata!R16-Rawdata!R17)/(Rawdata!Y17-Rawdata!Y16)</f>
        <v>507.99721254314198</v>
      </c>
      <c r="C15" s="58">
        <f>IF((Rawdata!K16-Rawdata!K17)&lt;0,0, (Rawdata!K16-Rawdata!K17)/(Rawdata!Y17-Rawdata!Y16)/$K$3)</f>
        <v>18.994409660841821</v>
      </c>
      <c r="D15" s="59">
        <f t="shared" si="0"/>
        <v>526.99162220398375</v>
      </c>
      <c r="E15" s="58">
        <f>AVERAGE(Rawdata!I16:I17)/1000/(D15/1000)</f>
        <v>2.9886623119605522</v>
      </c>
      <c r="F15" s="79">
        <f t="shared" si="1"/>
        <v>351.75083481175943</v>
      </c>
    </row>
    <row r="16" spans="1:22">
      <c r="A16" s="142">
        <f>Rawdata!Y18</f>
        <v>28.02986111111386</v>
      </c>
      <c r="B16" s="58">
        <f>(Rawdata!R17-Rawdata!R18)/(Rawdata!Y18-Rawdata!Y17)</f>
        <v>495.66004112437389</v>
      </c>
      <c r="C16" s="58">
        <f>IF((Rawdata!K17-Rawdata!K18)&lt;0,0, (Rawdata!K17-Rawdata!K18)/(Rawdata!Y18-Rawdata!Y17)/$K$3)</f>
        <v>11.399161290883132</v>
      </c>
      <c r="D16" s="59">
        <f t="shared" si="0"/>
        <v>507.059202415257</v>
      </c>
      <c r="E16" s="58">
        <f>AVERAGE(Rawdata!I17:I18)/1000/(D16/1000)</f>
        <v>3.2540578933201756</v>
      </c>
      <c r="F16" s="79">
        <f t="shared" si="1"/>
        <v>211.09708444838969</v>
      </c>
    </row>
    <row r="17" spans="1:7">
      <c r="A17" s="142">
        <f>Rawdata!Y19</f>
        <v>29.149305555554747</v>
      </c>
      <c r="B17" s="58">
        <f>(Rawdata!R18-Rawdata!R19)/(Rawdata!Y19-Rawdata!Y18)</f>
        <v>488.99255583281939</v>
      </c>
      <c r="C17" s="58">
        <f>IF((Rawdata!K18-Rawdata!K19)&lt;0,0, (Rawdata!K18-Rawdata!K19)/(Rawdata!Y19-Rawdata!Y18)/$K$3)</f>
        <v>10.317230969876379</v>
      </c>
      <c r="D17" s="59">
        <f t="shared" si="0"/>
        <v>499.30978680269578</v>
      </c>
      <c r="E17" s="58">
        <f>AVERAGE(Rawdata!I18:I19)/1000/(D17/1000)</f>
        <v>3.3045617041990885</v>
      </c>
      <c r="F17" s="79">
        <f t="shared" si="1"/>
        <v>191.06119491996444</v>
      </c>
    </row>
    <row r="18" spans="1:7">
      <c r="A18" s="147">
        <f>Rawdata!Y20</f>
        <v>29.990972222221899</v>
      </c>
      <c r="B18" s="58">
        <f>(Rawdata!S19-Rawdata!R20)/(Rawdata!Y20-Rawdata!Y19)</f>
        <v>525.14851485118254</v>
      </c>
      <c r="C18" s="58">
        <f>IF((Rawdata!L19-Rawdata!K20)&lt;0,0,(Rawdata!L19-Rawdata!K20)/(Rawdata!Y20-Rawdata!Y19)/$K$3)</f>
        <v>19.439865064454821</v>
      </c>
      <c r="D18" s="59">
        <f t="shared" si="0"/>
        <v>544.58837991563735</v>
      </c>
      <c r="E18" s="58">
        <f>AVERAGE(Rawdata!I19:I20)/1000/(D18/1000)</f>
        <v>2.9379987877226785</v>
      </c>
      <c r="F18" s="79">
        <f t="shared" si="1"/>
        <v>360.00006776451113</v>
      </c>
      <c r="G18" s="79"/>
    </row>
    <row r="19" spans="1:7">
      <c r="A19" s="147">
        <f>Rawdata!Y21</f>
        <v>32.990972222221899</v>
      </c>
      <c r="B19" s="58">
        <f>(Rawdata!R20-Rawdata!R21)/(Rawdata!Y21-Rawdata!Y20)</f>
        <v>536.53333333333342</v>
      </c>
      <c r="C19" s="58">
        <f>IF((Rawdata!K20-Rawdata!K21)&lt;0,0, (Rawdata!K20-Rawdata!K21)/(Rawdata!Y21-Rawdata!Y20)/$K$3)</f>
        <v>25.665704202759066</v>
      </c>
      <c r="D19" s="59">
        <f t="shared" si="0"/>
        <v>562.19903753609253</v>
      </c>
      <c r="E19" s="58">
        <f>AVERAGE(Rawdata!I20:I21)/1000/(D19/1000)</f>
        <v>2.845967163181566</v>
      </c>
      <c r="F19" s="79">
        <f t="shared" si="1"/>
        <v>475.29420711420369</v>
      </c>
    </row>
    <row r="20" spans="1:7">
      <c r="A20" s="147">
        <f>Rawdata!Y22</f>
        <v>35.002083333332848</v>
      </c>
      <c r="B20" s="58">
        <f>(Rawdata!R21-Rawdata!R22)/(Rawdata!Y22-Rawdata!Y21)</f>
        <v>535.32596685087151</v>
      </c>
      <c r="C20" s="58">
        <f>IF((Rawdata!K21-Rawdata!K22)&lt;0,0, (Rawdata!K21-Rawdata!K22)/(Rawdata!Y22-Rawdata!Y21)/$K$3)</f>
        <v>31.585832105884204</v>
      </c>
      <c r="D20" s="59">
        <f t="shared" si="0"/>
        <v>566.91179895675566</v>
      </c>
      <c r="E20" s="58">
        <f>AVERAGE(Rawdata!I21:I22)/1000/(D20/1000)</f>
        <v>2.822308519498725</v>
      </c>
      <c r="F20" s="79">
        <f t="shared" si="1"/>
        <v>584.92698693202976</v>
      </c>
    </row>
    <row r="21" spans="1:7">
      <c r="A21" s="147">
        <f>Rawdata!Y23</f>
        <v>37.01875000000291</v>
      </c>
      <c r="B21" s="58">
        <f>(Rawdata!R22-Rawdata!R23)/(Rawdata!Y23-Rawdata!Y22)</f>
        <v>555.76859504038669</v>
      </c>
      <c r="C21" s="58">
        <f>IF((Rawdata!K22-Rawdata!K23)&lt;0,0, (Rawdata!K22-Rawdata!K23)/(Rawdata!Y23-Rawdata!Y22)/$K$3)</f>
        <v>31.976073624457975</v>
      </c>
      <c r="D21" s="59">
        <f t="shared" si="0"/>
        <v>587.74466866484465</v>
      </c>
      <c r="E21" s="58">
        <f>AVERAGE(Rawdata!I22:I23)/1000/(D21/1000)</f>
        <v>2.7222705458726733</v>
      </c>
      <c r="F21" s="79">
        <f t="shared" si="1"/>
        <v>592.15373324252539</v>
      </c>
    </row>
    <row r="22" spans="1:7">
      <c r="A22" s="147">
        <f>Rawdata!Y24</f>
        <v>40.011111111110949</v>
      </c>
      <c r="B22" s="58">
        <f>(Rawdata!R23-Rawdata!R24)/(Rawdata!Y24-Rawdata!Y23)</f>
        <v>551.93873288522673</v>
      </c>
      <c r="C22" s="58">
        <f>IF((Rawdata!K23-Rawdata!K24)&lt;0,0, (Rawdata!K23-Rawdata!K24)/(Rawdata!Y24-Rawdata!Y23)/$K$3)</f>
        <v>27.982705580108117</v>
      </c>
      <c r="D22" s="59">
        <f t="shared" si="0"/>
        <v>579.92143846533486</v>
      </c>
      <c r="E22" s="58">
        <f>AVERAGE(Rawdata!I23:I24)/1000/(D22/1000)</f>
        <v>2.7158851105211324</v>
      </c>
      <c r="F22" s="79">
        <f t="shared" si="1"/>
        <v>518.20194593288954</v>
      </c>
    </row>
    <row r="23" spans="1:7">
      <c r="A23" s="147">
        <f>Rawdata!Y25</f>
        <v>42.029166666667152</v>
      </c>
      <c r="B23" s="58">
        <f>(Rawdata!R24-Rawdata!R25)/(Rawdata!Y25-Rawdata!Y24)</f>
        <v>512.02752924966376</v>
      </c>
      <c r="C23" s="58">
        <f>IF((Rawdata!K24-Rawdata!K25)&lt;0,0, (Rawdata!K24-Rawdata!K25)/(Rawdata!Y25-Rawdata!Y24)/$K$3)</f>
        <v>25.754023900626787</v>
      </c>
      <c r="D23" s="59">
        <f t="shared" si="0"/>
        <v>537.78155315029051</v>
      </c>
      <c r="E23" s="58">
        <f>AVERAGE(Rawdata!I24:I25)/1000/(D23/1000)</f>
        <v>2.8357238939614899</v>
      </c>
      <c r="F23" s="79">
        <f t="shared" si="1"/>
        <v>476.92976873522838</v>
      </c>
    </row>
    <row r="24" spans="1:7">
      <c r="A24" s="147">
        <f>Rawdata!Y26</f>
        <v>44.022222222221899</v>
      </c>
      <c r="B24" s="58">
        <f>(Rawdata!R25-Rawdata!R26)/(Rawdata!Y26-Rawdata!Y25)</f>
        <v>512.88083623714169</v>
      </c>
      <c r="C24" s="58">
        <f>IF((Rawdata!K25-Rawdata!K26)&lt;0,0, (Rawdata!K25-Rawdata!K26)/(Rawdata!Y26-Rawdata!Y25)/$K$3)</f>
        <v>28.008705771105923</v>
      </c>
      <c r="D24" s="59">
        <f t="shared" si="0"/>
        <v>540.88954200824764</v>
      </c>
      <c r="E24" s="58">
        <f>AVERAGE(Rawdata!I25:I26)/1000/(D24/1000)</f>
        <v>2.7732094697758596</v>
      </c>
      <c r="F24" s="79">
        <f t="shared" si="1"/>
        <v>518.68343438407305</v>
      </c>
    </row>
    <row r="25" spans="1:7">
      <c r="A25" s="147">
        <f>Rawdata!Y27</f>
        <v>46.997222222220444</v>
      </c>
      <c r="B25" s="58">
        <f>(Rawdata!R26-Rawdata!S26+Rawdata!S27-Rawdata!R27)/(Rawdata!Y27-Rawdata!Y26)</f>
        <v>552.63865546245529</v>
      </c>
      <c r="C25" s="58">
        <f>IF((Rawdata!K26-Rawdata!K27)&lt;0,0, (Rawdata!K26-Rawdata!K27)/(Rawdata!Y27-Rawdata!Y26)/$K$3)</f>
        <v>26.851934228950139</v>
      </c>
      <c r="D25" s="59">
        <f t="shared" si="0"/>
        <v>579.49058969140538</v>
      </c>
      <c r="E25" s="58">
        <f>AVERAGE(Rawdata!I26:I27)/1000/(D25/1000)</f>
        <v>2.5884803423620584</v>
      </c>
      <c r="F25" s="79">
        <f t="shared" si="1"/>
        <v>497.26158643485127</v>
      </c>
    </row>
    <row r="26" spans="1:7">
      <c r="A26" s="147">
        <f>Rawdata!Y28</f>
        <v>48.994444444448163</v>
      </c>
      <c r="B26" s="58">
        <f>(Rawdata!R27-Rawdata!R28)/(Rawdata!Y28-Rawdata!Y27)</f>
        <v>547.36022252978671</v>
      </c>
      <c r="C26" s="58">
        <f>IF((Rawdata!K27-Rawdata!K28)&lt;0,0, (Rawdata!K27-Rawdata!K28)/(Rawdata!Y28-Rawdata!Y27)/$K$3)</f>
        <v>34.696890799740117</v>
      </c>
      <c r="D26" s="59">
        <f t="shared" si="0"/>
        <v>582.05711332952683</v>
      </c>
      <c r="E26" s="58">
        <f>AVERAGE(Rawdata!I27:I28)/1000/(D26/1000)</f>
        <v>2.6629689157711236</v>
      </c>
      <c r="F26" s="79">
        <f t="shared" si="1"/>
        <v>642.53959570755831</v>
      </c>
    </row>
    <row r="27" spans="1:7">
      <c r="A27" s="147">
        <f>Rawdata!Y29</f>
        <v>50.971527777779556</v>
      </c>
      <c r="B27" s="58">
        <f>(Rawdata!R28-Rawdata!R29)/(Rawdata!Y29-Rawdata!Y28)</f>
        <v>528.3540569025206</v>
      </c>
      <c r="C27" s="58">
        <f>IF((Rawdata!K28-Rawdata!K29)&lt;0,0, (Rawdata!K28-Rawdata!K29)/(Rawdata!Y29-Rawdata!Y28)/$K$3)</f>
        <v>24.340499243947132</v>
      </c>
      <c r="D27" s="59">
        <f t="shared" si="0"/>
        <v>552.69455614646768</v>
      </c>
      <c r="E27" s="58">
        <f>AVERAGE(Rawdata!I28:I29)/1000/(D27/1000)</f>
        <v>2.8949081951442084</v>
      </c>
      <c r="F27" s="79">
        <f t="shared" si="1"/>
        <v>450.7531995818789</v>
      </c>
    </row>
    <row r="28" spans="1:7">
      <c r="A28" s="147">
        <f>Rawdata!Y30</f>
        <v>53.979166666664241</v>
      </c>
      <c r="B28" s="58">
        <f>(Rawdata!R29-Rawdata!R30)/(Rawdata!Y30-Rawdata!Y29)</f>
        <v>514.42345878621904</v>
      </c>
      <c r="C28" s="58">
        <f>IF((Rawdata!K29-Rawdata!K30)&lt;0,0, (Rawdata!K29-Rawdata!K30)/(Rawdata!Y30-Rawdata!Y29)/$K$3)</f>
        <v>26.24053064187855</v>
      </c>
      <c r="D28" s="59">
        <f t="shared" si="0"/>
        <v>540.66398942809758</v>
      </c>
      <c r="E28" s="58">
        <f>AVERAGE(Rawdata!I29:I30)/1000/(D28/1000)</f>
        <v>2.959324148243061</v>
      </c>
      <c r="F28" s="79">
        <f t="shared" si="1"/>
        <v>485.9392170641043</v>
      </c>
    </row>
    <row r="29" spans="1:7">
      <c r="A29" s="84">
        <f>Rawdata!Y31</f>
        <v>54.225694444445253</v>
      </c>
      <c r="B29" s="122">
        <f>(Rawdata!R30-Rawdata!R31)/(Rawdata!Y31-Rawdata!Y30)</f>
        <v>502.17464788073568</v>
      </c>
      <c r="C29" s="122">
        <f>IF((Rawdata!K30-Rawdata!K31)&lt;0,0, (Rawdata!K30-Rawdata!K31)/(Rawdata!Y31-Rawdata!Y30)/$K$3)</f>
        <v>27.328552643706107</v>
      </c>
      <c r="D29" s="123">
        <f t="shared" si="0"/>
        <v>529.50320052444181</v>
      </c>
      <c r="E29" s="122">
        <f>AVERAGE(Rawdata!I30:I31)/1000/(D29/1000)</f>
        <v>3.0217003380060672</v>
      </c>
      <c r="F29" s="124">
        <f>C29*$K$3/56.1056*1000</f>
        <v>506.08791630087978</v>
      </c>
    </row>
    <row r="30" spans="1:7">
      <c r="A30" s="84">
        <f>Rawdata!Y32</f>
        <v>56.019444444442343</v>
      </c>
      <c r="B30" s="58">
        <f>(Rawdata!S31-Rawdata!R32)/(Rawdata!Y32-Rawdata!Y31)</f>
        <v>486.57839721333312</v>
      </c>
      <c r="C30" s="58">
        <f>IF((Rawdata!K31-Rawdata!K32)&lt;0,0, (Rawdata!K31-Rawdata!K32)/(Rawdata!Y32-Rawdata!Y31)/$K$3)</f>
        <v>9.1216091591835262</v>
      </c>
      <c r="D30" s="59">
        <f t="shared" si="0"/>
        <v>495.70000637251667</v>
      </c>
      <c r="E30" s="58">
        <f>AVERAGE(Rawdata!I31:I32)/1000/(D30/1000)</f>
        <v>3.0764574952495929</v>
      </c>
      <c r="F30" s="79">
        <f t="shared" si="1"/>
        <v>168.91989242413737</v>
      </c>
    </row>
    <row r="31" spans="1:7">
      <c r="A31" s="84">
        <f>Rawdata!Y33</f>
        <v>57.995833333334303</v>
      </c>
      <c r="B31" s="58">
        <f>(Rawdata!R32-Rawdata!R33)/(Rawdata!Y33-Rawdata!Y32)</f>
        <v>487.65706254316336</v>
      </c>
      <c r="C31" s="58">
        <f>IF((Rawdata!K32-Rawdata!K33)&lt;0,0, (Rawdata!K32-Rawdata!K33)/(Rawdata!Y33-Rawdata!Y32)/$K$3)</f>
        <v>7.7916965675155891</v>
      </c>
      <c r="D31" s="59">
        <f t="shared" si="0"/>
        <v>495.44875911067896</v>
      </c>
      <c r="E31" s="58">
        <f>AVERAGE(Rawdata!I32:I33)/1000/(D31/1000)</f>
        <v>2.775261769689561</v>
      </c>
      <c r="F31" s="79">
        <f t="shared" si="1"/>
        <v>144.29170588405961</v>
      </c>
    </row>
    <row r="32" spans="1:7">
      <c r="A32" s="84">
        <f>Rawdata!Y34</f>
        <v>61.00138888888614</v>
      </c>
      <c r="B32" s="58">
        <f>(Rawdata!S33-Rawdata!R34)/(Rawdata!Y34-Rawdata!Y33)</f>
        <v>601.95194085102219</v>
      </c>
      <c r="C32" s="58">
        <f>IF((Rawdata!K33-Rawdata!K34)&lt;0,0, (Rawdata!K33-Rawdata!K34)/(Rawdata!Y34-Rawdata!Y33)/$K$3)</f>
        <v>10.247305190023692</v>
      </c>
      <c r="D32" s="59">
        <f t="shared" si="0"/>
        <v>612.19924604104585</v>
      </c>
      <c r="E32" s="58">
        <f>AVERAGE(Rawdata!I33:I34)/1000/(D32/1000)</f>
        <v>2.4501826973818752</v>
      </c>
      <c r="F32" s="79">
        <f t="shared" si="1"/>
        <v>189.76626383880779</v>
      </c>
    </row>
    <row r="33" spans="1:7">
      <c r="A33" s="84">
        <f>Rawdata!Y35</f>
        <v>62.996527777781012</v>
      </c>
      <c r="B33" s="58">
        <f>(Rawdata!R34-Rawdata!S34+Rawdata!S35-Rawdata!R35)/(Rawdata!Y35-Rawdata!Y34)</f>
        <v>567.78002088239089</v>
      </c>
      <c r="C33" s="58">
        <f>IF((Rawdata!K34-Rawdata!K35)&lt;0,0, (Rawdata!K34-Rawdata!K35)/(Rawdata!Y35-Rawdata!Y34)/$K$3)</f>
        <v>6.2712580404743603</v>
      </c>
      <c r="D33" s="59">
        <f t="shared" si="0"/>
        <v>574.05127892286521</v>
      </c>
      <c r="E33" s="58">
        <f>AVERAGE(Rawdata!I34:I35)/1000/(D33/1000)</f>
        <v>2.7872074477426443</v>
      </c>
      <c r="F33" s="79">
        <f t="shared" si="1"/>
        <v>116.13523612710425</v>
      </c>
      <c r="G33" s="79"/>
    </row>
    <row r="34" spans="1:7">
      <c r="A34" s="84">
        <f>Rawdata!Y36</f>
        <v>65.071527777778101</v>
      </c>
      <c r="B34" s="58">
        <f>(Rawdata!R35-Rawdata!R36)/(Rawdata!Y36-Rawdata!Y35)</f>
        <v>541.92771084413357</v>
      </c>
      <c r="C34" s="58">
        <f>IF((Rawdata!L35-Rawdata!K36)&lt;0,0, (Rawdata!L35-Rawdata!K36)/(Rawdata!Y36-Rawdata!Y35)/$K$3)</f>
        <v>12.523626749556627</v>
      </c>
      <c r="D34" s="59">
        <f t="shared" si="0"/>
        <v>554.45133759369014</v>
      </c>
      <c r="E34" s="58">
        <f>AVERAGE(Rawdata!I35:I36)/1000/(D34/1000)</f>
        <v>2.7053771869502126</v>
      </c>
      <c r="F34" s="79">
        <f t="shared" si="1"/>
        <v>231.9206673271355</v>
      </c>
    </row>
    <row r="35" spans="1:7">
      <c r="A35" s="84">
        <f>Rawdata!Y37</f>
        <v>67.984722222223354</v>
      </c>
      <c r="B35" s="58">
        <f>(Rawdata!R36-Rawdata!R37)/(Rawdata!Y37-Rawdata!Y36)</f>
        <v>498.8681764003382</v>
      </c>
      <c r="C35" s="58">
        <f>IF((Rawdata!K36-Rawdata!K37)&lt;0,0, (Rawdata!K36-Rawdata!K37)/(Rawdata!Y37-Rawdata!Y36)/$K$3)</f>
        <v>10.241809019167283</v>
      </c>
      <c r="D35" s="59">
        <f t="shared" si="0"/>
        <v>509.10998541950551</v>
      </c>
      <c r="E35" s="58">
        <f>AVERAGE(Rawdata!I36:I37)/1000/(D35/1000)</f>
        <v>2.7007916548071691</v>
      </c>
      <c r="F35" s="79">
        <f t="shared" si="1"/>
        <v>189.66448217138407</v>
      </c>
    </row>
    <row r="36" spans="1:7">
      <c r="A36" s="84">
        <f>Rawdata!Y38</f>
        <v>70.167361111110949</v>
      </c>
      <c r="B36" s="58">
        <f>(Rawdata!R37-Rawdata!S37+Rawdata!S38-Rawdata!R38)/(Rawdata!Y38-Rawdata!Y37)</f>
        <v>609.67483296249929</v>
      </c>
      <c r="C36" s="58">
        <f>IF((Rawdata!K37-Rawdata!K38)&lt;0,0, (Rawdata!K37-Rawdata!K38)/(Rawdata!Y38-Rawdata!Y37)/$K$3)</f>
        <v>11.465048902543774</v>
      </c>
      <c r="D36" s="59">
        <f t="shared" si="0"/>
        <v>621.13988186504309</v>
      </c>
      <c r="E36" s="58">
        <f>AVERAGE(Rawdata!I37:I38)/1000/(D36/1000)</f>
        <v>2.2941692227542618</v>
      </c>
      <c r="F36" s="79">
        <f t="shared" si="1"/>
        <v>212.31723410395719</v>
      </c>
    </row>
    <row r="37" spans="1:7">
      <c r="A37" s="84">
        <f>Rawdata!Y39</f>
        <v>72.156944444446708</v>
      </c>
      <c r="B37" s="58">
        <f>(Rawdata!R38-Rawdata!R39)/(Rawdata!Y39-Rawdata!Y38)</f>
        <v>571.82827225061203</v>
      </c>
      <c r="C37" s="58">
        <f>IF((Rawdata!K38-Rawdata!K39)&lt;0,0, (Rawdata!K38-Rawdata!K39)/(Rawdata!Y39-Rawdata!Y38)/$K$3)</f>
        <v>11.610035827830785</v>
      </c>
      <c r="D37" s="59">
        <f t="shared" si="0"/>
        <v>583.43830807844279</v>
      </c>
      <c r="E37" s="58">
        <f>AVERAGE(Rawdata!I38:I39)/1000/(D37/1000)</f>
        <v>2.7423636361307997</v>
      </c>
      <c r="F37" s="79">
        <f t="shared" si="1"/>
        <v>215.00219630689602</v>
      </c>
    </row>
    <row r="38" spans="1:7">
      <c r="A38" s="84">
        <f>Rawdata!Y40</f>
        <v>75.146527777775191</v>
      </c>
      <c r="B38" s="58">
        <f>(Rawdata!R39-Rawdata!R40)/(Rawdata!Y40-Rawdata!Y39)</f>
        <v>517.19581881617012</v>
      </c>
      <c r="C38" s="58">
        <f>IF((Rawdata!K39-Rawdata!K40)&lt;0,0, (Rawdata!K39-Rawdata!K40)/(Rawdata!Y40-Rawdata!Y39)/$K$3)</f>
        <v>10.945930991020232</v>
      </c>
      <c r="D38" s="59">
        <f t="shared" si="0"/>
        <v>528.14174980719031</v>
      </c>
      <c r="E38" s="58">
        <f>AVERAGE(Rawdata!I39:I40)/1000/(D38/1000)</f>
        <v>2.8874823862281942</v>
      </c>
      <c r="F38" s="79">
        <f t="shared" si="1"/>
        <v>202.70387090896486</v>
      </c>
    </row>
    <row r="39" spans="1:7">
      <c r="A39" s="143">
        <f>Rawdata!Y41</f>
        <v>77.093055555553292</v>
      </c>
      <c r="B39" s="58">
        <f>(Rawdata!R40-Rawdata!S39+Rawdata!S41-Rawdata!R41)/(Rawdata!Y41-Rawdata!Y40)</f>
        <v>547.95005351400073</v>
      </c>
      <c r="C39" s="58">
        <f>IF((Rawdata!K40-Rawdata!K41)&lt;0,0, (Rawdata!K40-Rawdata!K41)/(Rawdata!Y41-Rawdata!Y40)/$K$3)</f>
        <v>2.9667100113066556</v>
      </c>
      <c r="D39" s="59">
        <f t="shared" si="0"/>
        <v>550.91676352530737</v>
      </c>
      <c r="E39" s="58">
        <f>AVERAGE(Rawdata!I40:I41)/1000/(D39/1000)</f>
        <v>2.6773554512327764</v>
      </c>
      <c r="F39" s="79">
        <f t="shared" si="1"/>
        <v>54.93946596681284</v>
      </c>
    </row>
    <row r="40" spans="1:7">
      <c r="A40" s="143">
        <f>Rawdata!Y42</f>
        <v>79.150000000001455</v>
      </c>
      <c r="B40" s="58">
        <f>(Rawdata!R41-Rawdata!R42)/(Rawdata!Y42-Rawdata!Y41)</f>
        <v>475.55975692013948</v>
      </c>
      <c r="C40" s="58">
        <f>IF((Rawdata!K41-Rawdata!K42)&lt;0,0, (Rawdata!K41-Rawdata!K42)/(Rawdata!Y42-Rawdata!Y41)/$K$3)</f>
        <v>0</v>
      </c>
      <c r="D40" s="59">
        <f t="shared" si="0"/>
        <v>475.55975692013948</v>
      </c>
      <c r="E40" s="58">
        <f>AVERAGE(Rawdata!I41:I42)/1000/(D40/1000)</f>
        <v>3.0490384833876889</v>
      </c>
      <c r="F40" s="79">
        <f t="shared" si="1"/>
        <v>0</v>
      </c>
    </row>
    <row r="41" spans="1:7">
      <c r="A41" s="143">
        <f>Rawdata!Y43</f>
        <v>82.143055555556202</v>
      </c>
      <c r="B41" s="58">
        <f>(Rawdata!R42-Rawdata!R43)/(Rawdata!Y43-Rawdata!Y42)</f>
        <v>542.48909512775674</v>
      </c>
      <c r="C41" s="58">
        <f>IF((Rawdata!K42-Rawdata!K43)&lt;0,0, (Rawdata!K42-Rawdata!K43)/(Rawdata!Y43-Rawdata!Y42)/$K$3)</f>
        <v>1.9293940050339171</v>
      </c>
      <c r="D41" s="59">
        <f t="shared" si="0"/>
        <v>544.41848913279068</v>
      </c>
      <c r="E41" s="58">
        <f>AVERAGE(Rawdata!I42:I43)/1000/(D41/1000)</f>
        <v>2.6633922780795314</v>
      </c>
      <c r="F41" s="79">
        <f t="shared" si="1"/>
        <v>35.729773342237486</v>
      </c>
    </row>
    <row r="42" spans="1:7">
      <c r="A42" s="143">
        <f>Rawdata!Y44</f>
        <v>84.15763888888614</v>
      </c>
      <c r="B42" s="58">
        <f>(Rawdata!R43-Rawdata!R44)/(Rawdata!Y44-Rawdata!Y43)</f>
        <v>483.4250258539688</v>
      </c>
      <c r="C42" s="58">
        <f>IF((Rawdata!K43-Rawdata!K44)&lt;0,0, (Rawdata!K43-Rawdata!K44)/(Rawdata!Y44-Rawdata!Y43)/$K$3)</f>
        <v>0.47774837192393155</v>
      </c>
      <c r="D42" s="59">
        <f t="shared" si="0"/>
        <v>483.90277422589276</v>
      </c>
      <c r="E42" s="58">
        <f>AVERAGE(Rawdata!I43:I44)/1000/(D42/1000)</f>
        <v>3.0791309315876059</v>
      </c>
      <c r="F42" s="79">
        <f t="shared" si="1"/>
        <v>8.8472551479525183</v>
      </c>
    </row>
    <row r="43" spans="1:7">
      <c r="A43" s="143">
        <f>Rawdata!Y45</f>
        <v>86.27986111111386</v>
      </c>
      <c r="B43" s="58">
        <f>(Rawdata!R44-Rawdata!S44+Rawdata!S45-Rawdata!R45)/(Rawdata!Y45-Rawdata!Y44)</f>
        <v>524.87434554837887</v>
      </c>
      <c r="C43" s="58">
        <f>IF((Rawdata!K44-Rawdata!K45)&lt;0,0, (Rawdata!K44-Rawdata!K45)/(Rawdata!Y45-Rawdata!Y44)/$K$3)</f>
        <v>0</v>
      </c>
      <c r="D43" s="59">
        <f t="shared" si="0"/>
        <v>524.87434554837887</v>
      </c>
      <c r="E43" s="58">
        <f>AVERAGE(Rawdata!I44:I45)/1000/(D43/1000)</f>
        <v>2.8387746755716856</v>
      </c>
      <c r="F43" s="79">
        <f t="shared" si="1"/>
        <v>0</v>
      </c>
    </row>
    <row r="44" spans="1:7">
      <c r="A44" s="143">
        <f>Rawdata!Y46</f>
        <v>89.148611111115315</v>
      </c>
      <c r="B44" s="58">
        <f>(Rawdata!R45-Rawdata!R46)/(Rawdata!Y46-Rawdata!Y45)</f>
        <v>455.0065359474815</v>
      </c>
      <c r="C44" s="58">
        <f>IF((Rawdata!K45-Rawdata!K46)&lt;0,0, (Rawdata!K45-Rawdata!K46)/(Rawdata!Y46-Rawdata!Y45)/$K$3)</f>
        <v>2.0129964080585134</v>
      </c>
      <c r="D44" s="59">
        <f t="shared" si="0"/>
        <v>457.01953235554004</v>
      </c>
      <c r="E44" s="58">
        <f>AVERAGE(Rawdata!I45:I46)/1000/(D44/1000)</f>
        <v>3.0633264026686384</v>
      </c>
      <c r="F44" s="79">
        <f t="shared" si="1"/>
        <v>37.277977028546083</v>
      </c>
    </row>
    <row r="45" spans="1:7">
      <c r="A45" s="143">
        <f>Rawdata!Y47</f>
        <v>91.1875</v>
      </c>
      <c r="B45" s="58">
        <f>(Rawdata!R46-Rawdata!R47)/(Rawdata!Y47-Rawdata!Y46)</f>
        <v>526.95367847520095</v>
      </c>
      <c r="C45" s="58">
        <f>IF((Rawdata!K46-Rawdata!K47)&lt;0,0, (Rawdata!K46-Rawdata!K47)/(Rawdata!Y47-Rawdata!Y46)/$K$3)</f>
        <v>0</v>
      </c>
      <c r="D45" s="59">
        <f t="shared" si="0"/>
        <v>526.95367847520095</v>
      </c>
      <c r="E45" s="58">
        <f>AVERAGE(Rawdata!I46:I47)/1000/(D45/1000)</f>
        <v>2.5618950111637426</v>
      </c>
      <c r="F45" s="79">
        <f t="shared" si="1"/>
        <v>0</v>
      </c>
    </row>
    <row r="46" spans="1:7">
      <c r="A46" s="143">
        <f>Rawdata!Y48</f>
        <v>93.170833333337214</v>
      </c>
      <c r="B46" s="58">
        <f>(Rawdata!R47-Rawdata!R48)/(Rawdata!Y48-Rawdata!Y47)</f>
        <v>507.32773109144438</v>
      </c>
      <c r="C46" s="58">
        <f>IF((Rawdata!K47-Rawdata!K48)&lt;0,0, (Rawdata!K47-Rawdata!K48)/(Rawdata!Y48-Rawdata!Y47)/$K$3)</f>
        <v>0</v>
      </c>
      <c r="D46" s="59">
        <f t="shared" si="0"/>
        <v>507.32773109144438</v>
      </c>
      <c r="E46" s="58">
        <f>AVERAGE(Rawdata!I47:I48)/1000/(D46/1000)</f>
        <v>2.7595574107256007</v>
      </c>
      <c r="F46" s="79">
        <f t="shared" si="1"/>
        <v>0</v>
      </c>
    </row>
    <row r="47" spans="1:7">
      <c r="A47" s="147">
        <f>Rawdata!Y49</f>
        <v>96.150694444448163</v>
      </c>
      <c r="B47" s="58">
        <f>(Rawdata!R48-Rawdata!S48+Rawdata!S49-Rawdata!R49)/(Rawdata!Y49-Rawdata!Y48)</f>
        <v>537.54183174088189</v>
      </c>
      <c r="C47" s="58">
        <f>IF((Rawdata!K48-Rawdata!K49)&lt;0,0, (Rawdata!K48-Rawdata!K49)/(Rawdata!Y49-Rawdata!Y48)/$K$3)</f>
        <v>1.9379371152865037</v>
      </c>
      <c r="D47" s="59">
        <f t="shared" si="0"/>
        <v>539.47976885616845</v>
      </c>
      <c r="E47" s="58">
        <f>AVERAGE(Rawdata!I48:I49)/1000/(D47/1000)</f>
        <v>2.6877745630283068</v>
      </c>
      <c r="F47" s="79">
        <f t="shared" si="1"/>
        <v>35.887980215569875</v>
      </c>
    </row>
    <row r="48" spans="1:7">
      <c r="A48" s="147">
        <f>Rawdata!Y50</f>
        <v>98.159722222226264</v>
      </c>
      <c r="B48" s="58">
        <f>(Rawdata!R49-Rawdata!R50)/(Rawdata!Y50-Rawdata!Y49)</f>
        <v>444.09540269609181</v>
      </c>
      <c r="C48" s="58">
        <f>IF((Rawdata!K49-Rawdata!K50)&lt;0,0, (Rawdata!K49-Rawdata!K50)/(Rawdata!Y50-Rawdata!Y49)/$K$3)</f>
        <v>0</v>
      </c>
      <c r="D48" s="59">
        <f t="shared" si="0"/>
        <v>444.09540269609181</v>
      </c>
      <c r="E48" s="58">
        <f>AVERAGE(Rawdata!I49:I50)/1000/(D48/1000)</f>
        <v>3.2650641983616291</v>
      </c>
      <c r="F48" s="79">
        <f t="shared" si="1"/>
        <v>0</v>
      </c>
    </row>
    <row r="49" spans="1:6">
      <c r="A49" s="147">
        <f>Rawdata!Y51</f>
        <v>100.14930555555475</v>
      </c>
      <c r="B49" s="58">
        <f>(Rawdata!R50-Rawdata!R51)/(Rawdata!Y51-Rawdata!Y50)</f>
        <v>571.9790575930175</v>
      </c>
      <c r="C49" s="58">
        <f>IF((Rawdata!K50-Rawdata!K51)&lt;0,0, (Rawdata!K50-Rawdata!K51)/(Rawdata!Y51-Rawdata!Y50)/$K$3)</f>
        <v>0.96750298565610371</v>
      </c>
      <c r="D49" s="59">
        <f t="shared" si="0"/>
        <v>572.9465605786736</v>
      </c>
      <c r="E49" s="58">
        <f>AVERAGE(Rawdata!I50:I51)/1000/(D49/1000)</f>
        <v>2.5307770388489743</v>
      </c>
      <c r="F49" s="79">
        <f t="shared" si="1"/>
        <v>17.916849692306858</v>
      </c>
    </row>
    <row r="50" spans="1:6">
      <c r="A50" s="147">
        <f>Rawdata!Y52</f>
        <v>103.13680555555766</v>
      </c>
      <c r="B50" s="58">
        <f>(Rawdata!R51-Rawdata!R52)/(Rawdata!Y52-Rawdata!Y51)</f>
        <v>484.21757322128565</v>
      </c>
      <c r="C50" s="58">
        <f>IF((Rawdata!K51-Rawdata!K52)&lt;0,0, (Rawdata!K51-Rawdata!K52)/(Rawdata!Y52-Rawdata!Y51)/$K$3)</f>
        <v>0</v>
      </c>
      <c r="D50" s="59">
        <f t="shared" si="0"/>
        <v>484.21757322128565</v>
      </c>
      <c r="E50" s="58">
        <f>AVERAGE(Rawdata!I51:I52)/1000/(D50/1000)</f>
        <v>3.0461513203403099</v>
      </c>
      <c r="F50" s="79">
        <f t="shared" si="1"/>
        <v>0</v>
      </c>
    </row>
    <row r="51" spans="1:6">
      <c r="A51" s="147">
        <f>Rawdata!Y53</f>
        <v>105.14166666667006</v>
      </c>
      <c r="B51" s="58">
        <f>(Rawdata!R52-Rawdata!S52+Rawdata!S53-Rawdata!R53)/(Rawdata!Y53-Rawdata!Y52)</f>
        <v>477.04052649778697</v>
      </c>
      <c r="C51" s="58">
        <f>IF((Rawdata!K52-Rawdata!K53)&lt;0,0, (Rawdata!K52-Rawdata!K53)/(Rawdata!Y53-Rawdata!Y52)/$K$3)</f>
        <v>0</v>
      </c>
      <c r="D51" s="59">
        <f t="shared" si="0"/>
        <v>477.04052649778697</v>
      </c>
      <c r="E51" s="58">
        <f>AVERAGE(Rawdata!I52:I53)/1000/(D51/1000)</f>
        <v>2.8823546923667478</v>
      </c>
      <c r="F51" s="79">
        <f t="shared" si="1"/>
        <v>0</v>
      </c>
    </row>
    <row r="52" spans="1:6">
      <c r="A52" s="147">
        <f>Rawdata!Y54</f>
        <v>107.07916666667006</v>
      </c>
      <c r="B52" s="58">
        <f>(Rawdata!S54-Rawdata!R54)/(Rawdata!Y54-Rawdata!Y53)</f>
        <v>434.27096774193529</v>
      </c>
      <c r="C52" s="58">
        <f>IF((Rawdata!K53-Rawdata!K54)&lt;0,0, (Rawdata!K53-Rawdata!K54)/(Rawdata!Y54-Rawdata!Y53)/$K$3)</f>
        <v>1.4902666956440747</v>
      </c>
      <c r="D52" s="59">
        <f t="shared" si="0"/>
        <v>435.76123443757939</v>
      </c>
      <c r="E52" s="58">
        <f>AVERAGE(Rawdata!I53:I54)/1000/(D52/1000)</f>
        <v>3.0980268397265629</v>
      </c>
      <c r="F52" s="79">
        <f t="shared" si="1"/>
        <v>27.597728155018277</v>
      </c>
    </row>
    <row r="53" spans="1:6">
      <c r="A53" s="147">
        <f>Rawdata!Y55</f>
        <v>110.29652777777665</v>
      </c>
      <c r="B53" s="58">
        <f>(Rawdata!R54-Rawdata!R55)/(Rawdata!Y55-Rawdata!Y54)</f>
        <v>554.77142240527019</v>
      </c>
      <c r="C53" s="58">
        <f>IF((Rawdata!K54-Rawdata!K55)&lt;0,0, (Rawdata!K54-Rawdata!K55)/(Rawdata!Y55-Rawdata!Y54)/$K$3)</f>
        <v>0</v>
      </c>
      <c r="D53" s="59">
        <f t="shared" si="0"/>
        <v>554.77142240527019</v>
      </c>
      <c r="E53" s="58">
        <f>AVERAGE(Rawdata!I54:I55)/1000/(D53/1000)</f>
        <v>2.6136890644319268</v>
      </c>
      <c r="F53" s="79">
        <f t="shared" si="1"/>
        <v>0</v>
      </c>
    </row>
    <row r="54" spans="1:6">
      <c r="A54" s="147">
        <f>Rawdata!Y56</f>
        <v>112.15347222222044</v>
      </c>
      <c r="B54" s="58">
        <f>(Rawdata!R55-Rawdata!R56)/(Rawdata!Y56-Rawdata!Y55)</f>
        <v>556.12864622308064</v>
      </c>
      <c r="C54" s="58">
        <f>IF((Rawdata!K55-Rawdata!K56)&lt;0,0, (Rawdata!K55-Rawdata!K56)/(Rawdata!Y56-Rawdata!Y55)/$K$3)</f>
        <v>0</v>
      </c>
      <c r="D54" s="59">
        <f t="shared" si="0"/>
        <v>556.12864622308064</v>
      </c>
      <c r="E54" s="58">
        <f>AVERAGE(Rawdata!I55:I56)/1000/(D54/1000)</f>
        <v>2.6972176495261904</v>
      </c>
      <c r="F54" s="79">
        <f t="shared" si="1"/>
        <v>0</v>
      </c>
    </row>
    <row r="55" spans="1:6">
      <c r="A55" s="147">
        <f>Rawdata!Y57</f>
        <v>113.1916666666657</v>
      </c>
      <c r="B55" s="58">
        <f>(Rawdata!R56-Rawdata!R57)/(Rawdata!Y57-Rawdata!Y56)</f>
        <v>617.61070234065619</v>
      </c>
      <c r="C55" s="58">
        <f>IF((Rawdata!K56-Rawdata!K57)&lt;0,0, (Rawdata!K56-Rawdata!K57)/(Rawdata!Y57-Rawdata!Y56)/$K$3)</f>
        <v>5.5623332185200409</v>
      </c>
      <c r="D55" s="59">
        <f t="shared" si="0"/>
        <v>623.17303555917624</v>
      </c>
      <c r="E55" s="58">
        <f>AVERAGE(Rawdata!I56:I57)/1000/(D55/1000)</f>
        <v>2.5273879165627644</v>
      </c>
      <c r="F55" s="79">
        <f t="shared" si="1"/>
        <v>103.00690508687764</v>
      </c>
    </row>
    <row r="56" spans="1:6">
      <c r="A56" s="58">
        <f>Rawdata!Y58</f>
        <v>114.2770833333343</v>
      </c>
      <c r="B56" s="58">
        <f>(Rawdata!S57-Rawdata!R58)/(Rawdata!Y58-Rawdata!Y57)</f>
        <v>490.50287907781853</v>
      </c>
      <c r="C56" s="58">
        <f>IF((Rawdata!K57-Rawdata!K58)&lt;0,0, (Rawdata!K57-Rawdata!K58)/(Rawdata!Y58-Rawdata!Y57)/$K$3)</f>
        <v>0</v>
      </c>
      <c r="D56" s="59">
        <f t="shared" si="0"/>
        <v>490.50287907781853</v>
      </c>
      <c r="E56" s="58">
        <f>AVERAGE(Rawdata!I57:I58)/1000/(D56/1000)</f>
        <v>3.2109903268276749</v>
      </c>
      <c r="F56" s="79">
        <f t="shared" si="1"/>
        <v>0</v>
      </c>
    </row>
    <row r="57" spans="1:6">
      <c r="A57" s="58">
        <f>Rawdata!Y59</f>
        <v>117.28819444444525</v>
      </c>
      <c r="B57" s="58">
        <f>(Rawdata!R58-Rawdata!R59)/(Rawdata!Y59-Rawdata!Y58)</f>
        <v>483.94095940962001</v>
      </c>
      <c r="C57" s="58">
        <f>IF((Rawdata!K58-Rawdata!K59)&lt;0,0, (Rawdata!K58-Rawdata!K59)/(Rawdata!Y59-Rawdata!Y58)/$K$3)</f>
        <v>0</v>
      </c>
      <c r="D57" s="59">
        <f t="shared" si="0"/>
        <v>483.94095940962001</v>
      </c>
      <c r="E57" s="58">
        <f>AVERAGE(Rawdata!I58:I59)/1000/(D57/1000)</f>
        <v>3.0995516515690533</v>
      </c>
      <c r="F57" s="79">
        <f t="shared" si="1"/>
        <v>0</v>
      </c>
    </row>
    <row r="58" spans="1:6">
      <c r="A58" s="58">
        <f>Rawdata!Y60</f>
        <v>119.18194444444816</v>
      </c>
      <c r="B58" s="58">
        <f>(Rawdata!R59-Rawdata!R60)/(Rawdata!Y60-Rawdata!Y59)</f>
        <v>532.43564356353806</v>
      </c>
      <c r="C58" s="58">
        <f>IF((Rawdata!K59-Rawdata!K60)&lt;0,0, (Rawdata!K59-Rawdata!K60)/(Rawdata!Y60-Rawdata!Y59)/$K$3)</f>
        <v>1.0164635327809752</v>
      </c>
      <c r="D58" s="59">
        <f t="shared" si="0"/>
        <v>533.45210709631908</v>
      </c>
      <c r="E58" s="58">
        <f>AVERAGE(Rawdata!I59:I60)/1000/(D58/1000)</f>
        <v>2.8118737934409599</v>
      </c>
      <c r="F58" s="79">
        <f t="shared" si="1"/>
        <v>18.823532954989041</v>
      </c>
    </row>
    <row r="59" spans="1:6">
      <c r="A59" s="58">
        <f>Rawdata!Y61</f>
        <v>121.20138888889051</v>
      </c>
      <c r="B59" s="58">
        <f>(Rawdata!R60-Rawdata!R61)/(Rawdata!Y61-Rawdata!Y60)</f>
        <v>545.34800550263094</v>
      </c>
      <c r="C59" s="58">
        <f>IF((Rawdata!K60-Rawdata!K61)&lt;0,0, (Rawdata!K60-Rawdata!K61)/(Rawdata!Y61-Rawdata!Y60)/$K$3)</f>
        <v>1.4297950759461129</v>
      </c>
      <c r="D59" s="59">
        <f t="shared" si="0"/>
        <v>546.77780057857706</v>
      </c>
      <c r="E59" s="58">
        <f>AVERAGE(Rawdata!I60:I61)/1000/(D59/1000)</f>
        <v>2.8347895586833554</v>
      </c>
      <c r="F59" s="79">
        <f t="shared" si="1"/>
        <v>26.4778753619605</v>
      </c>
    </row>
    <row r="60" spans="1:6">
      <c r="A60" s="58">
        <f>Rawdata!Y62</f>
        <v>124.17569444444234</v>
      </c>
      <c r="B60" s="58">
        <f>(Rawdata!S61-Rawdata!R62)/(Rawdata!Y62-Rawdata!Y61)</f>
        <v>479.06981088082301</v>
      </c>
      <c r="C60" s="58">
        <f>IF((Rawdata!K61-Rawdata!K62)&lt;0,0, (Rawdata!K61-Rawdata!K62)/(Rawdata!Y62-Rawdata!Y61)/$K$3)</f>
        <v>0</v>
      </c>
      <c r="D60" s="59">
        <f t="shared" si="0"/>
        <v>479.06981088082301</v>
      </c>
      <c r="E60" s="58">
        <f>AVERAGE(Rawdata!I61:I62)/1000/(D60/1000)</f>
        <v>3.3398055224106535</v>
      </c>
      <c r="F60" s="79">
        <f t="shared" si="1"/>
        <v>0</v>
      </c>
    </row>
    <row r="61" spans="1:6">
      <c r="A61" s="58">
        <f>Rawdata!Y63</f>
        <v>126.16180555555911</v>
      </c>
      <c r="B61" s="58">
        <f>(Rawdata!R62-Rawdata!R63)/(Rawdata!Y63-Rawdata!Y62)</f>
        <v>580.43076922911553</v>
      </c>
      <c r="C61" s="58">
        <f>IF((Rawdata!K62-Rawdata!K63)&lt;0,0, (Rawdata!K62-Rawdata!K63)/(Rawdata!Y63-Rawdata!Y62)/$K$3)</f>
        <v>2.9075832733112734</v>
      </c>
      <c r="D61" s="59">
        <f t="shared" si="0"/>
        <v>583.3383525024268</v>
      </c>
      <c r="E61" s="58">
        <f>AVERAGE(Rawdata!I62:I63)/1000/(D61/1000)</f>
        <v>2.9142606391424049</v>
      </c>
      <c r="F61" s="79">
        <f t="shared" si="1"/>
        <v>53.844518568029088</v>
      </c>
    </row>
    <row r="62" spans="1:6">
      <c r="A62" s="58">
        <f>Rawdata!Y64</f>
        <v>128.18472222222044</v>
      </c>
      <c r="B62" s="58">
        <f>(Rawdata!R63-Rawdata!R64)/(Rawdata!Y64-Rawdata!Y63)</f>
        <v>522.06797116512587</v>
      </c>
      <c r="C62" s="58">
        <f>IF((Rawdata!K63-Rawdata!K64)&lt;0,0, (Rawdata!K63-Rawdata!K64)/(Rawdata!Y64-Rawdata!Y63)/$K$3)</f>
        <v>0</v>
      </c>
      <c r="D62" s="59">
        <f t="shared" si="0"/>
        <v>522.06797116512587</v>
      </c>
      <c r="E62" s="58">
        <f>AVERAGE(Rawdata!I63:I64)/1000/(D62/1000)</f>
        <v>3.4478269103213663</v>
      </c>
      <c r="F62" s="79">
        <f t="shared" si="1"/>
        <v>0</v>
      </c>
    </row>
    <row r="63" spans="1:6">
      <c r="A63" s="58">
        <f>Rawdata!Y65</f>
        <v>131.17083333333721</v>
      </c>
      <c r="B63" s="58">
        <f>(Rawdata!R64-Rawdata!R65)/(Rawdata!Y65-Rawdata!Y64)</f>
        <v>530.35534883620414</v>
      </c>
      <c r="C63" s="58">
        <f>IF((Rawdata!K64-Rawdata!K65)&lt;0,0, (Rawdata!K64-Rawdata!K65)/(Rawdata!Y65-Rawdata!Y64)/$K$3)</f>
        <v>0</v>
      </c>
      <c r="D63" s="59">
        <f t="shared" si="0"/>
        <v>530.35534883620414</v>
      </c>
      <c r="E63" s="58">
        <f>AVERAGE(Rawdata!I64:I65)/1000/(D63/1000)</f>
        <v>3.2996744613590629</v>
      </c>
      <c r="F63" s="79">
        <f t="shared" si="1"/>
        <v>0</v>
      </c>
    </row>
    <row r="64" spans="1:6">
      <c r="A64" s="58">
        <f>Rawdata!Y66</f>
        <v>132.02500000000146</v>
      </c>
      <c r="B64" s="58">
        <f>(Rawdata!R65-Rawdata!R66)/(Rawdata!Y66-Rawdata!Y65)</f>
        <v>525.30731707466236</v>
      </c>
      <c r="C64" s="58">
        <f>IF((Rawdata!K65-Rawdata!K66)&lt;0,0, (Rawdata!K65-Rawdata!K66)/(Rawdata!Y66-Rawdata!Y65)/$K$3)</f>
        <v>0</v>
      </c>
      <c r="D64" s="59">
        <f t="shared" si="0"/>
        <v>525.30731707466236</v>
      </c>
      <c r="E64" s="58">
        <f>AVERAGE(Rawdata!I65:I66)/1000/(D64/1000)</f>
        <v>3.1410184978738531</v>
      </c>
      <c r="F64" s="79">
        <f t="shared" si="1"/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6E35F-E8F3-4433-B862-79E6C01393F2}">
  <dimension ref="A1:W26"/>
  <sheetViews>
    <sheetView zoomScale="160" zoomScaleNormal="160" workbookViewId="0">
      <pane xSplit="4" ySplit="2" topLeftCell="K12" activePane="bottomRight" state="frozen"/>
      <selection pane="topRight" activeCell="E1" sqref="E1"/>
      <selection pane="bottomLeft" activeCell="A3" sqref="A3"/>
      <selection pane="bottomRight" activeCell="K30" sqref="K30"/>
    </sheetView>
  </sheetViews>
  <sheetFormatPr defaultRowHeight="15"/>
  <cols>
    <col min="1" max="1" width="10.28515625" style="205" customWidth="1"/>
    <col min="2" max="2" width="6.28515625" style="206" customWidth="1"/>
    <col min="3" max="3" width="15.140625" style="207" customWidth="1"/>
    <col min="4" max="4" width="15.140625" style="223" customWidth="1"/>
    <col min="5" max="5" width="10" style="213" customWidth="1"/>
    <col min="6" max="6" width="10.7109375" style="214" customWidth="1"/>
    <col min="7" max="7" width="12.5703125" style="214" customWidth="1"/>
    <col min="8" max="8" width="18.28515625" style="214" customWidth="1"/>
    <col min="9" max="10" width="12.42578125" style="214" customWidth="1"/>
    <col min="11" max="11" width="30.5703125" style="214" bestFit="1" customWidth="1"/>
    <col min="12" max="12" width="32.28515625" style="214" bestFit="1" customWidth="1"/>
    <col min="13" max="13" width="9.140625" style="214"/>
    <col min="14" max="15" width="9.140625" style="211"/>
    <col min="16" max="16" width="9.140625" style="212"/>
    <col min="17" max="17" width="15.7109375" style="210" customWidth="1"/>
    <col min="18" max="18" width="36.28515625" style="210" bestFit="1" customWidth="1"/>
    <col min="19" max="19" width="18.140625" style="210" bestFit="1" customWidth="1"/>
    <col min="20" max="20" width="9" style="210" bestFit="1" customWidth="1"/>
    <col min="21" max="21" width="11.5703125" style="210" bestFit="1" customWidth="1"/>
    <col min="22" max="22" width="9.85546875" style="210" bestFit="1" customWidth="1"/>
    <col min="23" max="23" width="19.85546875" style="210" bestFit="1" customWidth="1"/>
    <col min="24" max="24" width="20.28515625" style="210" bestFit="1" customWidth="1"/>
    <col min="25" max="25" width="16.5703125" style="210" bestFit="1" customWidth="1"/>
    <col min="26" max="26" width="15.42578125" style="210" bestFit="1" customWidth="1"/>
    <col min="27" max="16384" width="9.140625" style="210"/>
  </cols>
  <sheetData>
    <row r="1" spans="1:23">
      <c r="D1" s="223" t="s">
        <v>343</v>
      </c>
      <c r="E1" s="208" t="s">
        <v>274</v>
      </c>
      <c r="F1" s="209" t="s">
        <v>338</v>
      </c>
      <c r="G1" s="209" t="s">
        <v>339</v>
      </c>
      <c r="H1" s="209" t="s">
        <v>342</v>
      </c>
      <c r="I1" s="210" t="s">
        <v>278</v>
      </c>
      <c r="J1" s="210" t="s">
        <v>347</v>
      </c>
      <c r="K1" s="210" t="s">
        <v>346</v>
      </c>
      <c r="L1" s="210" t="s">
        <v>349</v>
      </c>
      <c r="M1" s="209"/>
      <c r="S1" s="210" t="s">
        <v>277</v>
      </c>
      <c r="V1" s="210" t="s">
        <v>278</v>
      </c>
      <c r="W1" s="210" t="s">
        <v>281</v>
      </c>
    </row>
    <row r="2" spans="1:23">
      <c r="E2" s="213" t="s">
        <v>278</v>
      </c>
      <c r="F2" s="214" t="s">
        <v>340</v>
      </c>
      <c r="G2" s="214" t="s">
        <v>340</v>
      </c>
      <c r="H2" s="214" t="s">
        <v>340</v>
      </c>
      <c r="I2" s="210" t="s">
        <v>279</v>
      </c>
      <c r="J2" s="210" t="s">
        <v>344</v>
      </c>
      <c r="K2" s="210" t="s">
        <v>345</v>
      </c>
      <c r="L2" s="210" t="s">
        <v>348</v>
      </c>
      <c r="M2" s="214" t="s">
        <v>275</v>
      </c>
      <c r="N2" s="211" t="s">
        <v>341</v>
      </c>
      <c r="Q2" s="210" t="s">
        <v>221</v>
      </c>
      <c r="R2" s="210" t="s">
        <v>273</v>
      </c>
      <c r="S2" s="210" t="s">
        <v>274</v>
      </c>
      <c r="T2" s="210" t="s">
        <v>275</v>
      </c>
      <c r="U2" s="210" t="s">
        <v>276</v>
      </c>
      <c r="V2" s="210" t="s">
        <v>279</v>
      </c>
      <c r="W2" s="210" t="s">
        <v>280</v>
      </c>
    </row>
    <row r="3" spans="1:23">
      <c r="A3" s="197">
        <v>45434</v>
      </c>
      <c r="B3" s="198">
        <v>0.39930555555555558</v>
      </c>
      <c r="C3" s="220">
        <f t="shared" ref="C3:C17" si="0">A3+B3</f>
        <v>45434.399305555555</v>
      </c>
      <c r="D3" s="224">
        <f>0</f>
        <v>0</v>
      </c>
      <c r="E3" s="201">
        <v>2000</v>
      </c>
      <c r="F3" s="200"/>
      <c r="G3" s="200"/>
      <c r="H3" s="200">
        <v>1500</v>
      </c>
      <c r="I3" s="204">
        <v>28.6</v>
      </c>
      <c r="J3" s="214">
        <f t="shared" ref="J3:J16" si="1">I3*4</f>
        <v>114.4</v>
      </c>
      <c r="K3" s="214">
        <f t="shared" ref="K3:K16" si="2">J3/E3</f>
        <v>5.7200000000000001E-2</v>
      </c>
      <c r="L3" s="235">
        <f>K3*H3/D4</f>
        <v>9.2513665293905483</v>
      </c>
      <c r="M3" s="210">
        <v>3.19</v>
      </c>
      <c r="N3" s="210">
        <v>5.89</v>
      </c>
      <c r="O3" s="200"/>
      <c r="P3" s="201"/>
      <c r="Q3" s="215">
        <v>45431</v>
      </c>
      <c r="R3" s="210" t="s">
        <v>337</v>
      </c>
      <c r="S3" s="210">
        <v>2</v>
      </c>
      <c r="T3" s="210">
        <v>3.19</v>
      </c>
      <c r="U3" s="210">
        <v>5.89</v>
      </c>
      <c r="V3" s="210">
        <v>28.6</v>
      </c>
      <c r="W3" s="210">
        <f>V3*4/S3</f>
        <v>57.2</v>
      </c>
    </row>
    <row r="4" spans="1:23">
      <c r="A4" s="197">
        <v>45443</v>
      </c>
      <c r="B4" s="202">
        <v>0.67361111111111116</v>
      </c>
      <c r="C4" s="221">
        <f t="shared" si="0"/>
        <v>45443.673611111109</v>
      </c>
      <c r="D4" s="224">
        <f t="shared" ref="D4:D17" si="3">C4-C3</f>
        <v>9.2743055555547471</v>
      </c>
      <c r="E4" s="213">
        <v>4000</v>
      </c>
      <c r="G4" s="214">
        <v>5477</v>
      </c>
      <c r="H4" s="214">
        <f t="shared" ref="H4:H16" si="4">G4-F5</f>
        <v>3621.5</v>
      </c>
      <c r="I4" s="214">
        <v>55.1</v>
      </c>
      <c r="J4" s="214">
        <f>I4*4</f>
        <v>220.4</v>
      </c>
      <c r="K4" s="214">
        <f>J4/E4</f>
        <v>5.5100000000000003E-2</v>
      </c>
      <c r="L4" s="229">
        <f>K4*H4/D5</f>
        <v>25.439955378486058</v>
      </c>
      <c r="M4" s="214">
        <v>3.23</v>
      </c>
      <c r="N4" s="211">
        <v>5.9</v>
      </c>
      <c r="Q4" s="215">
        <v>45443</v>
      </c>
      <c r="R4" s="210" t="s">
        <v>336</v>
      </c>
      <c r="S4" s="210">
        <v>4</v>
      </c>
      <c r="T4" s="210">
        <v>3.23</v>
      </c>
      <c r="U4" s="210">
        <v>5.9</v>
      </c>
      <c r="V4" s="210">
        <v>55.1</v>
      </c>
      <c r="W4" s="210">
        <f>V4*4/S4</f>
        <v>55.1</v>
      </c>
    </row>
    <row r="5" spans="1:23">
      <c r="A5" s="203">
        <v>45451</v>
      </c>
      <c r="B5" s="202">
        <v>0.51736111111111105</v>
      </c>
      <c r="C5" s="221">
        <f t="shared" si="0"/>
        <v>45451.517361111109</v>
      </c>
      <c r="D5" s="224">
        <f t="shared" si="3"/>
        <v>7.84375</v>
      </c>
      <c r="E5" s="213">
        <v>5000</v>
      </c>
      <c r="F5" s="214">
        <v>1855.5</v>
      </c>
      <c r="G5" s="214">
        <v>6811.7</v>
      </c>
      <c r="H5" s="214">
        <f t="shared" si="4"/>
        <v>6021.9</v>
      </c>
      <c r="I5" s="214">
        <v>69.400000000000006</v>
      </c>
      <c r="J5" s="214">
        <f t="shared" si="1"/>
        <v>277.60000000000002</v>
      </c>
      <c r="K5" s="214">
        <f t="shared" si="2"/>
        <v>5.5520000000000007E-2</v>
      </c>
      <c r="L5" s="229">
        <f t="shared" ref="L5:L15" si="5">K5*H5/D6</f>
        <v>27.788956924675325</v>
      </c>
      <c r="M5" s="214">
        <v>3.23</v>
      </c>
      <c r="N5" s="211">
        <v>5.9</v>
      </c>
      <c r="Q5" s="215">
        <v>45462</v>
      </c>
      <c r="R5" s="210" t="s">
        <v>282</v>
      </c>
      <c r="S5" s="210">
        <v>5</v>
      </c>
      <c r="T5" s="210">
        <v>3.04</v>
      </c>
      <c r="U5" s="210">
        <v>5.91</v>
      </c>
      <c r="V5" s="210">
        <v>129.6</v>
      </c>
      <c r="W5" s="216">
        <f>V5*4/S5</f>
        <v>103.67999999999999</v>
      </c>
    </row>
    <row r="6" spans="1:23">
      <c r="A6" s="197">
        <v>45463</v>
      </c>
      <c r="B6" s="198">
        <v>0.54861111111111105</v>
      </c>
      <c r="C6" s="219">
        <f t="shared" si="0"/>
        <v>45463.548611111109</v>
      </c>
      <c r="D6" s="224">
        <f t="shared" si="3"/>
        <v>12.03125</v>
      </c>
      <c r="E6" s="213">
        <v>10000</v>
      </c>
      <c r="F6" s="204">
        <v>789.8</v>
      </c>
      <c r="G6" s="204">
        <v>10661</v>
      </c>
      <c r="H6" s="204">
        <f t="shared" si="4"/>
        <v>9102.1</v>
      </c>
      <c r="I6" s="204">
        <f>129.6+128.6</f>
        <v>258.2</v>
      </c>
      <c r="J6" s="214">
        <f t="shared" si="1"/>
        <v>1032.8</v>
      </c>
      <c r="K6" s="214">
        <f t="shared" si="2"/>
        <v>0.10328</v>
      </c>
      <c r="L6" s="230">
        <f t="shared" si="5"/>
        <v>63.16814926364566</v>
      </c>
      <c r="M6" s="204">
        <f>AVERAGE(3.04, 3)</f>
        <v>3.02</v>
      </c>
      <c r="N6" s="211">
        <v>5.91</v>
      </c>
      <c r="Q6" s="215">
        <v>45462</v>
      </c>
      <c r="R6" s="210" t="s">
        <v>282</v>
      </c>
      <c r="S6" s="210">
        <v>5</v>
      </c>
      <c r="T6" s="210">
        <v>3</v>
      </c>
      <c r="U6" s="210">
        <v>5.91</v>
      </c>
      <c r="V6" s="210">
        <v>128.6</v>
      </c>
      <c r="W6" s="216">
        <f t="shared" ref="W6:W16" si="6">V6*4/S6</f>
        <v>102.88</v>
      </c>
    </row>
    <row r="7" spans="1:23">
      <c r="A7" s="203">
        <v>45478</v>
      </c>
      <c r="B7" s="202">
        <v>0.43055555555555558</v>
      </c>
      <c r="C7" s="219">
        <f t="shared" si="0"/>
        <v>45478.430555555555</v>
      </c>
      <c r="D7" s="224">
        <f t="shared" si="3"/>
        <v>14.881944444445253</v>
      </c>
      <c r="E7" s="213">
        <v>5000</v>
      </c>
      <c r="F7" s="204">
        <v>1558.9</v>
      </c>
      <c r="G7" s="204">
        <v>8580.9</v>
      </c>
      <c r="H7" s="214">
        <f t="shared" si="4"/>
        <v>6329.5</v>
      </c>
      <c r="I7" s="214">
        <v>125.8</v>
      </c>
      <c r="J7" s="214">
        <f t="shared" si="1"/>
        <v>503.2</v>
      </c>
      <c r="K7" s="214">
        <f t="shared" si="2"/>
        <v>0.10063999999999999</v>
      </c>
      <c r="L7" s="230">
        <f t="shared" si="5"/>
        <v>62.485099945499122</v>
      </c>
      <c r="M7" s="214">
        <v>3.06</v>
      </c>
      <c r="N7" s="211">
        <v>5.91</v>
      </c>
      <c r="Q7" s="215">
        <v>45478</v>
      </c>
      <c r="R7" s="210" t="s">
        <v>282</v>
      </c>
      <c r="S7" s="210">
        <v>5</v>
      </c>
      <c r="T7" s="210">
        <v>3.06</v>
      </c>
      <c r="U7" s="210">
        <v>5.91</v>
      </c>
      <c r="V7" s="210">
        <v>125.8</v>
      </c>
      <c r="W7" s="216">
        <f t="shared" si="6"/>
        <v>100.64</v>
      </c>
    </row>
    <row r="8" spans="1:23">
      <c r="A8" s="197">
        <v>45488</v>
      </c>
      <c r="B8" s="198">
        <v>0.625</v>
      </c>
      <c r="C8" s="222">
        <f t="shared" si="0"/>
        <v>45488.625</v>
      </c>
      <c r="D8" s="224">
        <f t="shared" si="3"/>
        <v>10.194444444445253</v>
      </c>
      <c r="E8" s="213">
        <v>5000</v>
      </c>
      <c r="F8" s="204">
        <v>2251.4</v>
      </c>
      <c r="G8" s="204">
        <v>5631.9</v>
      </c>
      <c r="H8" s="214">
        <f t="shared" si="4"/>
        <v>4594.7</v>
      </c>
      <c r="I8" s="214">
        <v>125</v>
      </c>
      <c r="J8" s="214">
        <f t="shared" si="1"/>
        <v>500</v>
      </c>
      <c r="K8" s="214">
        <f t="shared" si="2"/>
        <v>0.1</v>
      </c>
      <c r="L8" s="231">
        <f t="shared" si="5"/>
        <v>58.371133656791201</v>
      </c>
      <c r="M8" s="214">
        <v>3.87</v>
      </c>
      <c r="N8" s="211">
        <v>5.89</v>
      </c>
      <c r="Q8" s="215">
        <v>45488</v>
      </c>
      <c r="R8" s="210" t="s">
        <v>283</v>
      </c>
      <c r="S8" s="210">
        <v>5</v>
      </c>
      <c r="T8" s="210">
        <v>3.87</v>
      </c>
      <c r="U8" s="210">
        <v>5.89</v>
      </c>
      <c r="V8" s="210">
        <v>125</v>
      </c>
      <c r="W8" s="217">
        <f t="shared" si="6"/>
        <v>100</v>
      </c>
    </row>
    <row r="9" spans="1:23">
      <c r="A9" s="203">
        <v>45496</v>
      </c>
      <c r="B9" s="202">
        <v>0.49652777777777773</v>
      </c>
      <c r="C9" s="222">
        <f t="shared" si="0"/>
        <v>45496.496527777781</v>
      </c>
      <c r="D9" s="224">
        <f t="shared" si="3"/>
        <v>7.8715277777810115</v>
      </c>
      <c r="E9" s="213">
        <v>4000</v>
      </c>
      <c r="F9" s="204">
        <v>1037.2</v>
      </c>
      <c r="G9" s="204">
        <v>4620.6000000000004</v>
      </c>
      <c r="H9" s="214">
        <f t="shared" si="4"/>
        <v>3266.3</v>
      </c>
      <c r="I9" s="214">
        <v>102.2</v>
      </c>
      <c r="J9" s="214">
        <f t="shared" si="1"/>
        <v>408.8</v>
      </c>
      <c r="K9" s="214">
        <f t="shared" si="2"/>
        <v>0.1022</v>
      </c>
      <c r="L9" s="231">
        <f t="shared" si="5"/>
        <v>56.605609797459543</v>
      </c>
      <c r="M9" s="214">
        <v>3.87</v>
      </c>
      <c r="N9" s="211">
        <v>5.89</v>
      </c>
      <c r="Q9" s="215">
        <v>45496</v>
      </c>
      <c r="R9" s="210" t="s">
        <v>283</v>
      </c>
      <c r="S9" s="210">
        <v>4</v>
      </c>
      <c r="T9" s="210">
        <v>3.87</v>
      </c>
      <c r="U9" s="210">
        <v>5.89</v>
      </c>
      <c r="V9" s="210">
        <v>102.2</v>
      </c>
      <c r="W9" s="217">
        <f t="shared" si="6"/>
        <v>102.2</v>
      </c>
    </row>
    <row r="10" spans="1:23">
      <c r="A10" s="203">
        <v>45502</v>
      </c>
      <c r="B10" s="202">
        <v>0.39374999999999999</v>
      </c>
      <c r="C10" s="222">
        <f t="shared" si="0"/>
        <v>45502.393750000003</v>
      </c>
      <c r="D10" s="224">
        <f t="shared" si="3"/>
        <v>5.8972222222218988</v>
      </c>
      <c r="E10" s="213">
        <v>5000</v>
      </c>
      <c r="F10" s="204">
        <v>1354.3</v>
      </c>
      <c r="G10" s="204">
        <v>6381.8</v>
      </c>
      <c r="H10" s="214">
        <f t="shared" si="4"/>
        <v>4450.1000000000004</v>
      </c>
      <c r="I10" s="214">
        <v>129.19999999999999</v>
      </c>
      <c r="J10" s="214">
        <f t="shared" si="1"/>
        <v>516.79999999999995</v>
      </c>
      <c r="K10" s="214">
        <f t="shared" si="2"/>
        <v>0.10335999999999999</v>
      </c>
      <c r="L10" s="231">
        <f t="shared" si="5"/>
        <v>64.311657815378581</v>
      </c>
      <c r="M10" s="214">
        <v>3.84</v>
      </c>
      <c r="N10" s="211">
        <v>5.9</v>
      </c>
      <c r="Q10" s="215">
        <v>45502</v>
      </c>
      <c r="R10" s="210" t="s">
        <v>283</v>
      </c>
      <c r="S10" s="210">
        <v>5</v>
      </c>
      <c r="T10" s="210">
        <v>3.84</v>
      </c>
      <c r="U10" s="210">
        <v>5.9</v>
      </c>
      <c r="V10" s="210">
        <v>129.19999999999999</v>
      </c>
      <c r="W10" s="217">
        <f t="shared" si="6"/>
        <v>103.35999999999999</v>
      </c>
    </row>
    <row r="11" spans="1:23">
      <c r="A11" s="197">
        <v>45509</v>
      </c>
      <c r="B11" s="198">
        <v>0.54583333333333328</v>
      </c>
      <c r="C11" s="225">
        <f t="shared" si="0"/>
        <v>45509.54583333333</v>
      </c>
      <c r="D11" s="224">
        <f t="shared" si="3"/>
        <v>7.1520833333270275</v>
      </c>
      <c r="E11" s="213">
        <v>5000</v>
      </c>
      <c r="F11" s="226">
        <v>1931.7</v>
      </c>
      <c r="G11" s="226">
        <v>5637.9</v>
      </c>
      <c r="H11" s="214">
        <f t="shared" si="4"/>
        <v>4569.2999999999993</v>
      </c>
      <c r="I11" s="214">
        <v>177.2</v>
      </c>
      <c r="J11" s="214">
        <f t="shared" si="1"/>
        <v>708.8</v>
      </c>
      <c r="K11" s="214">
        <f t="shared" si="2"/>
        <v>0.14176</v>
      </c>
      <c r="L11" s="232">
        <f t="shared" si="5"/>
        <v>71.849585111644132</v>
      </c>
      <c r="M11" s="214">
        <v>2.73</v>
      </c>
      <c r="N11" s="211">
        <v>5.91</v>
      </c>
      <c r="Q11" s="215">
        <v>45509</v>
      </c>
      <c r="R11" s="210" t="s">
        <v>284</v>
      </c>
      <c r="S11" s="210">
        <v>5</v>
      </c>
      <c r="T11" s="210">
        <v>2.73</v>
      </c>
      <c r="U11" s="210">
        <v>5.91</v>
      </c>
      <c r="V11" s="210">
        <v>177.2</v>
      </c>
      <c r="W11" s="218">
        <f t="shared" si="6"/>
        <v>141.76</v>
      </c>
    </row>
    <row r="12" spans="1:23">
      <c r="A12" s="203">
        <v>45518</v>
      </c>
      <c r="B12" s="202">
        <v>0.56111111111111112</v>
      </c>
      <c r="C12" s="225">
        <f t="shared" si="0"/>
        <v>45518.561111111114</v>
      </c>
      <c r="D12" s="224">
        <f t="shared" si="3"/>
        <v>9.0152777777839219</v>
      </c>
      <c r="E12" s="213">
        <v>5000</v>
      </c>
      <c r="F12" s="204">
        <v>1068.5999999999999</v>
      </c>
      <c r="G12" s="204">
        <v>6083.3</v>
      </c>
      <c r="H12" s="214">
        <f t="shared" si="4"/>
        <v>5448.9000000000005</v>
      </c>
      <c r="I12" s="214">
        <v>187</v>
      </c>
      <c r="J12" s="214">
        <f t="shared" si="1"/>
        <v>748</v>
      </c>
      <c r="K12" s="214">
        <f t="shared" si="2"/>
        <v>0.14960000000000001</v>
      </c>
      <c r="L12" s="232">
        <f t="shared" si="5"/>
        <v>74.208106815062379</v>
      </c>
      <c r="M12" s="214">
        <v>2.77</v>
      </c>
      <c r="N12" s="211">
        <v>5.89</v>
      </c>
      <c r="Q12" s="215">
        <v>45518</v>
      </c>
      <c r="R12" s="210" t="s">
        <v>284</v>
      </c>
      <c r="S12" s="210">
        <v>5</v>
      </c>
      <c r="T12" s="210">
        <v>2.77</v>
      </c>
      <c r="U12" s="210">
        <v>5.89</v>
      </c>
      <c r="V12" s="210">
        <v>187</v>
      </c>
      <c r="W12" s="218">
        <f t="shared" si="6"/>
        <v>149.6</v>
      </c>
    </row>
    <row r="13" spans="1:23">
      <c r="A13" s="197">
        <v>45529</v>
      </c>
      <c r="B13" s="198">
        <v>0.54583333333333328</v>
      </c>
      <c r="C13" s="228">
        <f t="shared" si="0"/>
        <v>45529.54583333333</v>
      </c>
      <c r="D13" s="224">
        <f t="shared" si="3"/>
        <v>10.984722222216078</v>
      </c>
      <c r="E13" s="213">
        <v>5000</v>
      </c>
      <c r="F13" s="204">
        <v>634.4</v>
      </c>
      <c r="G13" s="204">
        <v>5636.5</v>
      </c>
      <c r="H13" s="214">
        <f t="shared" si="4"/>
        <v>4202.3999999999996</v>
      </c>
      <c r="I13" s="214">
        <v>198</v>
      </c>
      <c r="J13" s="214">
        <f t="shared" si="1"/>
        <v>792</v>
      </c>
      <c r="K13" s="214">
        <f t="shared" si="2"/>
        <v>0.15840000000000001</v>
      </c>
      <c r="L13" s="233">
        <f t="shared" si="5"/>
        <v>83.30876328867005</v>
      </c>
      <c r="M13" s="214">
        <v>2.73</v>
      </c>
      <c r="N13" s="211">
        <v>5.9</v>
      </c>
      <c r="Q13" s="215">
        <v>45529</v>
      </c>
      <c r="R13" s="210" t="s">
        <v>284</v>
      </c>
      <c r="S13" s="210">
        <v>5</v>
      </c>
      <c r="T13" s="210">
        <v>2.73</v>
      </c>
      <c r="U13" s="210">
        <v>5.9</v>
      </c>
      <c r="V13" s="210">
        <v>198</v>
      </c>
      <c r="W13" s="218">
        <f t="shared" si="6"/>
        <v>158.4</v>
      </c>
    </row>
    <row r="14" spans="1:23">
      <c r="A14" s="203">
        <v>45537</v>
      </c>
      <c r="B14" s="202">
        <v>0.53611111111111109</v>
      </c>
      <c r="C14" s="228">
        <f t="shared" si="0"/>
        <v>45537.536111111112</v>
      </c>
      <c r="D14" s="224">
        <f t="shared" si="3"/>
        <v>7.9902777777824667</v>
      </c>
      <c r="E14" s="213">
        <v>5000</v>
      </c>
      <c r="F14" s="204">
        <v>1434.1</v>
      </c>
      <c r="G14" s="204">
        <v>6433.3</v>
      </c>
      <c r="H14" s="214">
        <f t="shared" si="4"/>
        <v>5435.6</v>
      </c>
      <c r="I14" s="214">
        <v>198.8</v>
      </c>
      <c r="J14" s="214">
        <f t="shared" si="1"/>
        <v>795.2</v>
      </c>
      <c r="K14" s="214">
        <f t="shared" si="2"/>
        <v>0.15904000000000001</v>
      </c>
      <c r="L14" s="233">
        <f t="shared" si="5"/>
        <v>85.839750831625992</v>
      </c>
      <c r="M14" s="214">
        <v>2.75</v>
      </c>
      <c r="N14" s="211">
        <v>5.89</v>
      </c>
      <c r="Q14" s="215">
        <v>45537</v>
      </c>
      <c r="R14" s="210" t="s">
        <v>284</v>
      </c>
      <c r="S14" s="210">
        <v>5</v>
      </c>
      <c r="T14" s="210">
        <v>2.75</v>
      </c>
      <c r="U14" s="210">
        <v>5.89</v>
      </c>
      <c r="V14" s="210">
        <v>198.8</v>
      </c>
      <c r="W14" s="218">
        <f t="shared" si="6"/>
        <v>159.04000000000002</v>
      </c>
    </row>
    <row r="15" spans="1:23">
      <c r="A15" s="197">
        <v>45547</v>
      </c>
      <c r="B15" s="198">
        <v>0.6069444444444444</v>
      </c>
      <c r="C15" s="227">
        <f t="shared" si="0"/>
        <v>45547.606944444444</v>
      </c>
      <c r="D15" s="224">
        <f t="shared" si="3"/>
        <v>10.070833333331393</v>
      </c>
      <c r="E15" s="213">
        <v>5000</v>
      </c>
      <c r="F15" s="204">
        <v>997.7</v>
      </c>
      <c r="G15" s="204">
        <v>5579.8</v>
      </c>
      <c r="H15" s="214">
        <f t="shared" si="4"/>
        <v>4099.2000000000007</v>
      </c>
      <c r="I15" s="214">
        <v>192.4</v>
      </c>
      <c r="J15" s="214">
        <f t="shared" si="1"/>
        <v>769.6</v>
      </c>
      <c r="K15" s="214">
        <f t="shared" si="2"/>
        <v>0.15392</v>
      </c>
      <c r="L15" s="234">
        <f t="shared" si="5"/>
        <v>78.813876141533342</v>
      </c>
      <c r="M15" s="214">
        <v>2.78</v>
      </c>
      <c r="N15" s="211">
        <v>5.91</v>
      </c>
      <c r="Q15" s="215">
        <v>45547</v>
      </c>
      <c r="R15" s="210" t="s">
        <v>285</v>
      </c>
      <c r="S15" s="210">
        <v>5</v>
      </c>
      <c r="T15" s="210">
        <v>2.78</v>
      </c>
      <c r="U15" s="210">
        <v>5.91</v>
      </c>
      <c r="V15" s="210">
        <v>192.4</v>
      </c>
      <c r="W15" s="210">
        <f t="shared" si="6"/>
        <v>153.92000000000002</v>
      </c>
    </row>
    <row r="16" spans="1:23">
      <c r="A16" s="203">
        <v>45555</v>
      </c>
      <c r="B16" s="202">
        <v>0.61249999999999993</v>
      </c>
      <c r="C16" s="227">
        <f t="shared" si="0"/>
        <v>45555.612500000003</v>
      </c>
      <c r="D16" s="224">
        <f t="shared" si="3"/>
        <v>8.0055555555591127</v>
      </c>
      <c r="E16" s="213">
        <v>5000</v>
      </c>
      <c r="F16" s="204">
        <v>1480.6</v>
      </c>
      <c r="G16" s="204">
        <v>6471</v>
      </c>
      <c r="H16" s="214">
        <f t="shared" si="4"/>
        <v>5666.2</v>
      </c>
      <c r="I16" s="214">
        <v>193.3</v>
      </c>
      <c r="J16" s="214">
        <f t="shared" si="1"/>
        <v>773.2</v>
      </c>
      <c r="K16" s="214">
        <f t="shared" si="2"/>
        <v>0.15464</v>
      </c>
      <c r="L16" s="234">
        <f>K16*H16/D17</f>
        <v>81.043000958331561</v>
      </c>
      <c r="M16" s="214">
        <v>2.73</v>
      </c>
      <c r="N16" s="211">
        <v>5.9</v>
      </c>
      <c r="Q16" s="215">
        <v>45555</v>
      </c>
      <c r="R16" s="210" t="s">
        <v>285</v>
      </c>
      <c r="S16" s="210">
        <v>5</v>
      </c>
      <c r="T16" s="210">
        <v>2.73</v>
      </c>
      <c r="U16" s="210">
        <v>5.9</v>
      </c>
      <c r="V16" s="210">
        <v>193.3</v>
      </c>
      <c r="W16" s="210">
        <f t="shared" si="6"/>
        <v>154.64000000000001</v>
      </c>
    </row>
    <row r="17" spans="1:13">
      <c r="A17" s="203">
        <v>45566</v>
      </c>
      <c r="B17" s="202">
        <v>0.42430555555555555</v>
      </c>
      <c r="C17" s="199">
        <f t="shared" si="0"/>
        <v>45566.424305555556</v>
      </c>
      <c r="D17" s="224">
        <f t="shared" si="3"/>
        <v>10.811805555553292</v>
      </c>
      <c r="F17" s="204">
        <v>804.8</v>
      </c>
    </row>
    <row r="19" spans="1:13">
      <c r="K19" s="236" t="s">
        <v>317</v>
      </c>
      <c r="L19" s="214" t="s">
        <v>351</v>
      </c>
      <c r="M19" s="237" t="s">
        <v>286</v>
      </c>
    </row>
    <row r="20" spans="1:13">
      <c r="K20" s="214" t="s">
        <v>350</v>
      </c>
      <c r="L20" s="238">
        <f>AVERAGE(L3)</f>
        <v>9.2513665293905483</v>
      </c>
      <c r="M20" s="238">
        <f>AVERAGE(M3)</f>
        <v>3.19</v>
      </c>
    </row>
    <row r="21" spans="1:13">
      <c r="K21" s="214" t="s">
        <v>318</v>
      </c>
      <c r="L21" s="238">
        <f>AVERAGE(L4:L5)</f>
        <v>26.61445615158069</v>
      </c>
      <c r="M21" s="238">
        <f>AVERAGE(M4:M5)</f>
        <v>3.23</v>
      </c>
    </row>
    <row r="22" spans="1:13">
      <c r="K22" s="214" t="s">
        <v>319</v>
      </c>
      <c r="L22" s="238">
        <f>AVERAGE(L6:L7)</f>
        <v>62.826624604572388</v>
      </c>
      <c r="M22" s="238">
        <f>AVERAGE(M6:M7)</f>
        <v>3.04</v>
      </c>
    </row>
    <row r="23" spans="1:13">
      <c r="K23" s="214" t="s">
        <v>320</v>
      </c>
      <c r="L23" s="238">
        <f>AVERAGE(L8:L10)</f>
        <v>59.762800423209775</v>
      </c>
      <c r="M23" s="238">
        <f>AVERAGE(M8:M10)</f>
        <v>3.86</v>
      </c>
    </row>
    <row r="24" spans="1:13">
      <c r="K24" s="214" t="s">
        <v>321</v>
      </c>
      <c r="L24" s="238">
        <f>AVERAGE(L11:L12)</f>
        <v>73.028845963353263</v>
      </c>
      <c r="M24" s="238">
        <f>AVERAGE(M11:M12)</f>
        <v>2.75</v>
      </c>
    </row>
    <row r="25" spans="1:13">
      <c r="K25" s="214" t="s">
        <v>322</v>
      </c>
      <c r="L25" s="238">
        <f>AVERAGE(L13:L14)</f>
        <v>84.574257060148028</v>
      </c>
      <c r="M25" s="238">
        <f>AVERAGE(M13:M14)</f>
        <v>2.74</v>
      </c>
    </row>
    <row r="26" spans="1:13">
      <c r="K26" s="214" t="s">
        <v>323</v>
      </c>
      <c r="L26" s="238">
        <f>AVERAGE(L15:L16)</f>
        <v>79.928438549932451</v>
      </c>
      <c r="M26" s="238">
        <f>AVERAGE(M15:M16)</f>
        <v>2.7549999999999999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D4A37-63CA-41AF-82A0-9D97C35A8906}">
  <dimension ref="B1:AS282"/>
  <sheetViews>
    <sheetView topLeftCell="C1" zoomScale="103" zoomScaleNormal="115" workbookViewId="0">
      <pane xSplit="1" ySplit="2" topLeftCell="T3" activePane="bottomRight" state="frozen"/>
      <selection activeCell="C1" sqref="C1"/>
      <selection pane="topRight" activeCell="D1" sqref="D1"/>
      <selection pane="bottomLeft" activeCell="C3" sqref="C3"/>
      <selection pane="bottomRight" activeCell="AA23" sqref="AA23"/>
    </sheetView>
  </sheetViews>
  <sheetFormatPr defaultRowHeight="15"/>
  <cols>
    <col min="2" max="2" width="17.5703125" customWidth="1"/>
    <col min="3" max="3" width="10.85546875" customWidth="1"/>
    <col min="4" max="4" width="14" bestFit="1" customWidth="1"/>
    <col min="5" max="5" width="12.28515625" style="58" bestFit="1" customWidth="1"/>
    <col min="6" max="6" width="8.7109375" bestFit="1" customWidth="1"/>
    <col min="7" max="7" width="11.140625" style="58" bestFit="1" customWidth="1"/>
    <col min="8" max="8" width="16.85546875" bestFit="1" customWidth="1"/>
    <col min="9" max="9" width="13.85546875" style="58" bestFit="1" customWidth="1"/>
    <col min="10" max="10" width="7.85546875" bestFit="1" customWidth="1"/>
    <col min="11" max="11" width="6.7109375" bestFit="1" customWidth="1"/>
    <col min="12" max="12" width="7.85546875" bestFit="1" customWidth="1"/>
    <col min="13" max="14" width="6.28515625" bestFit="1" customWidth="1"/>
    <col min="15" max="15" width="7.85546875" bestFit="1" customWidth="1"/>
    <col min="19" max="20" width="9.28515625" bestFit="1" customWidth="1"/>
    <col min="21" max="21" width="10.5703125" bestFit="1" customWidth="1"/>
    <col min="22" max="22" width="9.42578125" bestFit="1" customWidth="1"/>
    <col min="23" max="23" width="9.28515625" bestFit="1" customWidth="1"/>
    <col min="24" max="24" width="13.28515625" customWidth="1"/>
    <col min="25" max="25" width="16.28515625" customWidth="1"/>
    <col min="27" max="27" width="19.85546875" customWidth="1"/>
    <col min="45" max="45" width="18.28515625" bestFit="1" customWidth="1"/>
  </cols>
  <sheetData>
    <row r="1" spans="2:45" ht="39.75" customHeight="1">
      <c r="D1" s="81" t="s">
        <v>215</v>
      </c>
      <c r="E1" s="82"/>
      <c r="F1" s="82"/>
      <c r="G1" s="82"/>
      <c r="H1" s="83" t="s">
        <v>216</v>
      </c>
      <c r="I1" s="84"/>
      <c r="J1" s="85"/>
      <c r="K1" s="85"/>
      <c r="L1" s="85"/>
      <c r="M1" s="85"/>
      <c r="N1" s="85"/>
      <c r="O1" s="85"/>
      <c r="P1" s="86" t="s">
        <v>217</v>
      </c>
      <c r="Q1" s="86"/>
      <c r="R1" s="86"/>
      <c r="S1" s="87" t="s">
        <v>256</v>
      </c>
      <c r="T1" s="87"/>
      <c r="U1" s="87"/>
      <c r="V1" s="87"/>
      <c r="W1" s="87"/>
      <c r="X1" s="99"/>
      <c r="Y1" s="99"/>
      <c r="Z1" s="65" t="s">
        <v>218</v>
      </c>
      <c r="AA1" s="101">
        <v>24.465</v>
      </c>
      <c r="AB1" s="65" t="s">
        <v>219</v>
      </c>
      <c r="AC1" s="65" t="s">
        <v>220</v>
      </c>
      <c r="AD1" s="65"/>
    </row>
    <row r="2" spans="2:45" s="88" customFormat="1" ht="57.75" customHeight="1">
      <c r="B2" s="88" t="s">
        <v>221</v>
      </c>
      <c r="C2" s="88" t="s">
        <v>222</v>
      </c>
      <c r="D2" s="89" t="s">
        <v>223</v>
      </c>
      <c r="E2" s="89" t="s">
        <v>224</v>
      </c>
      <c r="F2" s="89" t="s">
        <v>225</v>
      </c>
      <c r="G2" s="89" t="s">
        <v>226</v>
      </c>
      <c r="H2" s="90" t="s">
        <v>227</v>
      </c>
      <c r="I2" s="91" t="s">
        <v>228</v>
      </c>
      <c r="J2" s="90" t="s">
        <v>229</v>
      </c>
      <c r="K2" s="90" t="s">
        <v>230</v>
      </c>
      <c r="L2" s="90" t="s">
        <v>231</v>
      </c>
      <c r="M2" s="90" t="s">
        <v>232</v>
      </c>
      <c r="N2" s="90" t="s">
        <v>233</v>
      </c>
      <c r="O2" s="90" t="s">
        <v>234</v>
      </c>
      <c r="P2" s="92" t="s">
        <v>197</v>
      </c>
      <c r="Q2" s="92" t="s">
        <v>235</v>
      </c>
      <c r="R2" s="92" t="s">
        <v>236</v>
      </c>
      <c r="S2" s="93" t="s">
        <v>237</v>
      </c>
      <c r="T2" s="93" t="s">
        <v>238</v>
      </c>
      <c r="U2" s="93" t="s">
        <v>239</v>
      </c>
      <c r="V2" s="93" t="s">
        <v>240</v>
      </c>
      <c r="W2" s="93" t="s">
        <v>241</v>
      </c>
      <c r="X2" s="100" t="s">
        <v>271</v>
      </c>
      <c r="Y2" s="100" t="s">
        <v>253</v>
      </c>
      <c r="Z2" s="94" t="s">
        <v>242</v>
      </c>
      <c r="AA2" s="102">
        <v>25.286000000000001</v>
      </c>
      <c r="AB2" s="94" t="s">
        <v>219</v>
      </c>
      <c r="AC2" s="94" t="s">
        <v>243</v>
      </c>
      <c r="AD2" s="94"/>
    </row>
    <row r="3" spans="2:45">
      <c r="B3" s="95">
        <f>[1]Rawdata!X5</f>
        <v>45434.399305555555</v>
      </c>
      <c r="C3">
        <f>0</f>
        <v>0</v>
      </c>
      <c r="D3" s="110">
        <f>4.4*1440</f>
        <v>6336.0000000000009</v>
      </c>
      <c r="E3" s="111">
        <f>D3/$AA$1</f>
        <v>258.98221949724098</v>
      </c>
      <c r="F3" s="110">
        <f>40.87*1440</f>
        <v>58852.799999999996</v>
      </c>
      <c r="G3" s="111">
        <f>F3/$AA$1</f>
        <v>2405.5916615573265</v>
      </c>
      <c r="H3" s="112">
        <f>0</f>
        <v>0</v>
      </c>
      <c r="I3" s="113">
        <f>0</f>
        <v>0</v>
      </c>
      <c r="J3" s="115" t="s">
        <v>254</v>
      </c>
      <c r="K3" s="112">
        <v>0.245</v>
      </c>
      <c r="L3" s="112">
        <v>95.875</v>
      </c>
      <c r="M3" s="112">
        <v>4.1500000000000004</v>
      </c>
      <c r="N3" s="115" t="s">
        <v>254</v>
      </c>
      <c r="O3" s="112">
        <f>SUM(J3:N3)</f>
        <v>100.27000000000001</v>
      </c>
      <c r="P3" s="105">
        <f>((M3/100)/Constants!$D$28/((10^-R3)^2))*(((10^-R3)^2)+(10^-R3)*Constants!$D$25+Constants!$D$25*Constants!$D$26)*1000</f>
        <v>1.9707536446148597</v>
      </c>
      <c r="Q3" s="105">
        <f>P3*(HRT!D3/1000)</f>
        <v>0</v>
      </c>
      <c r="R3" s="67">
        <f>Rawdata!F5</f>
        <v>5.95</v>
      </c>
      <c r="S3" s="116" t="s">
        <v>254</v>
      </c>
      <c r="T3" s="116" t="s">
        <v>254</v>
      </c>
      <c r="U3" s="116" t="s">
        <v>254</v>
      </c>
      <c r="V3" s="116" t="s">
        <v>254</v>
      </c>
      <c r="W3" s="116" t="s">
        <v>254</v>
      </c>
      <c r="X3" s="62"/>
      <c r="Y3" s="62"/>
    </row>
    <row r="4" spans="2:45">
      <c r="B4" s="95">
        <f>[1]Rawdata!X6</f>
        <v>45436.378472222219</v>
      </c>
      <c r="C4" s="58">
        <f>B4-$B$3</f>
        <v>1.9791666666642413</v>
      </c>
      <c r="D4" s="110">
        <f t="shared" ref="D4:D64" si="0">4.4*1440</f>
        <v>6336.0000000000009</v>
      </c>
      <c r="E4" s="111">
        <f t="shared" ref="E4:E64" si="1">D4/$AA$1</f>
        <v>258.98221949724098</v>
      </c>
      <c r="F4" s="110">
        <f t="shared" ref="F4:F64" si="2">40.87*1440</f>
        <v>58852.799999999996</v>
      </c>
      <c r="G4" s="111">
        <f t="shared" ref="G4:G64" si="3">F4/$AA$1</f>
        <v>2405.5916615573265</v>
      </c>
      <c r="H4" s="112">
        <f>[1]Rawdata!G6-[1]Rawdata!G5</f>
        <v>89695</v>
      </c>
      <c r="I4" s="113">
        <f>H4/(C4-C3)</f>
        <v>45319.578947423957</v>
      </c>
      <c r="J4" s="112">
        <v>0.03</v>
      </c>
      <c r="K4" s="112">
        <v>0.22500000000000001</v>
      </c>
      <c r="L4" s="112">
        <v>92.57</v>
      </c>
      <c r="M4" s="112">
        <v>6.8849999999999998</v>
      </c>
      <c r="N4" s="115" t="s">
        <v>254</v>
      </c>
      <c r="O4" s="112">
        <f>SUM(J4:N4)</f>
        <v>99.71</v>
      </c>
      <c r="P4" s="105">
        <f>((M4/100)/Constants!$D$28/((10^-R4)^2))*(((10^-R4)^2)+(10^-R4)*Constants!$D$25+Constants!$D$25*Constants!$D$26)*1000</f>
        <v>3.1685730595564356</v>
      </c>
      <c r="Q4" s="105">
        <f>P4*(HRT!D4/1000)</f>
        <v>3.0817386527307697E-3</v>
      </c>
      <c r="R4" s="67">
        <f>Rawdata!F6</f>
        <v>5.9</v>
      </c>
      <c r="S4" s="114">
        <f>(AVERAGE(J3:J4)/100*I4)/$AA$2</f>
        <v>0.53768384419153625</v>
      </c>
      <c r="T4" s="114">
        <f>(AVERAGE(K3:K4)/100*I4)/$AA$2</f>
        <v>4.2118567795003665</v>
      </c>
      <c r="U4" s="114">
        <f>(AVERAGE(L3:L4)/100*I4)/$AA$2</f>
        <v>1688.7305336445675</v>
      </c>
      <c r="V4" s="114">
        <f>(AVERAGE(M3:M4)/100*I4)/$AA$2+Q4</f>
        <v>98.892102082879447</v>
      </c>
      <c r="W4" s="117" t="s">
        <v>254</v>
      </c>
      <c r="X4" s="104">
        <f>U4+V4-Y4</f>
        <v>-4.656844911007056</v>
      </c>
      <c r="Y4" s="104">
        <f>U4/AVERAGE(L3:L4)*100</f>
        <v>1792.2794806384541</v>
      </c>
    </row>
    <row r="5" spans="2:45">
      <c r="B5" s="95">
        <f>[1]Rawdata!X7</f>
        <v>45439.402777777781</v>
      </c>
      <c r="C5" s="58">
        <f t="shared" ref="C5:C64" si="4">B5-$B$3</f>
        <v>5.0034722222262644</v>
      </c>
      <c r="D5" s="110">
        <f t="shared" si="0"/>
        <v>6336.0000000000009</v>
      </c>
      <c r="E5" s="111">
        <f>D5/$AA$1</f>
        <v>258.98221949724098</v>
      </c>
      <c r="F5" s="110">
        <f t="shared" si="2"/>
        <v>58852.799999999996</v>
      </c>
      <c r="G5" s="111">
        <f t="shared" si="3"/>
        <v>2405.5916615573265</v>
      </c>
      <c r="H5" s="112">
        <f>[1]Rawdata!G7-[1]Rawdata!G6</f>
        <v>136011</v>
      </c>
      <c r="I5" s="113">
        <f>H5/(C5-C4)</f>
        <v>44972.638346631727</v>
      </c>
      <c r="J5" s="112">
        <v>0</v>
      </c>
      <c r="K5" s="112">
        <v>0.24000000000000002</v>
      </c>
      <c r="L5" s="112">
        <v>93.715000000000003</v>
      </c>
      <c r="M5" s="112">
        <v>6.93</v>
      </c>
      <c r="N5" s="115" t="s">
        <v>254</v>
      </c>
      <c r="O5" s="112">
        <f t="shared" ref="O5:O60" si="5">SUM(J5:N5)</f>
        <v>100.88499999999999</v>
      </c>
      <c r="P5" s="105">
        <f>((M5/100)/Constants!$D$28/((10^-R5)^2))*(((10^-R5)^2)+(10^-R5)*Constants!$D$25+Constants!$D$25*Constants!$D$26)*1000</f>
        <v>3.002904278904492</v>
      </c>
      <c r="Q5" s="105">
        <f>P5*(HRT!D5/1000)</f>
        <v>3.7270470989153356E-2</v>
      </c>
      <c r="R5" s="67">
        <f>Rawdata!F7</f>
        <v>5.79</v>
      </c>
      <c r="S5" s="114">
        <f>(AVERAGE(J4:J5)/100*I5)/$AA$2</f>
        <v>0.266783823143034</v>
      </c>
      <c r="T5" s="114">
        <f>(AVERAGE(K4:K5)/100*I5)/$AA$2</f>
        <v>4.1351492587170275</v>
      </c>
      <c r="U5" s="114">
        <f>(AVERAGE(L4:L5)/100*I5)/$AA$2</f>
        <v>1656.59414980667</v>
      </c>
      <c r="V5" s="114">
        <f>(AVERAGE(M4:M5)/100*I5)/$AA$2+Q5</f>
        <v>122.89122102835633</v>
      </c>
      <c r="W5" s="117" t="s">
        <v>254</v>
      </c>
      <c r="X5" s="104">
        <f t="shared" ref="X5:X64" si="6">U5+V5-Y5</f>
        <v>0.92654988146591677</v>
      </c>
      <c r="Y5" s="104">
        <f>U5/AVERAGE(L4:L5)*100</f>
        <v>1778.5588209535604</v>
      </c>
      <c r="AA5" t="s">
        <v>250</v>
      </c>
      <c r="AS5" t="s">
        <v>257</v>
      </c>
    </row>
    <row r="6" spans="2:45">
      <c r="B6" s="95">
        <f>[1]Rawdata!X8</f>
        <v>45441.415277777778</v>
      </c>
      <c r="C6" s="58">
        <f t="shared" si="4"/>
        <v>7.015972222223354</v>
      </c>
      <c r="D6" s="110">
        <f>4.4*1440</f>
        <v>6336.0000000000009</v>
      </c>
      <c r="E6" s="111">
        <f>D6/$AA$1</f>
        <v>258.98221949724098</v>
      </c>
      <c r="F6" s="110">
        <f>40.87*1440</f>
        <v>58852.799999999996</v>
      </c>
      <c r="G6" s="111">
        <f t="shared" si="3"/>
        <v>2405.5916615573265</v>
      </c>
      <c r="H6" s="112">
        <f>[1]Rawdata!G8-[1]Rawdata!G7</f>
        <v>88249</v>
      </c>
      <c r="I6" s="113">
        <f t="shared" ref="I6:I64" si="7">H6/(C6-C5)</f>
        <v>43850.434782672113</v>
      </c>
      <c r="J6" s="112">
        <v>0</v>
      </c>
      <c r="K6" s="112">
        <v>0.13</v>
      </c>
      <c r="L6" s="112">
        <v>93.625</v>
      </c>
      <c r="M6" s="112">
        <v>6.88</v>
      </c>
      <c r="N6" s="115" t="s">
        <v>254</v>
      </c>
      <c r="O6" s="112">
        <f t="shared" si="5"/>
        <v>100.63499999999999</v>
      </c>
      <c r="P6" s="105">
        <f>((M6/100)/Constants!$D$28/((10^-R6)^2))*(((10^-R6)^2)+(10^-R6)*Constants!$D$25+Constants!$D$25*Constants!$D$26)*1000</f>
        <v>2.9523473386086909</v>
      </c>
      <c r="Q6" s="105">
        <f>P6*(HRT!D6/1000)</f>
        <v>8.4716355462085557E-3</v>
      </c>
      <c r="R6" s="67">
        <f>Rawdata!F8</f>
        <v>5.77</v>
      </c>
      <c r="S6" s="114">
        <f>(AVERAGE(J5:J6)/100*I6)/$AA$2</f>
        <v>0</v>
      </c>
      <c r="T6" s="114">
        <f>(AVERAGE(K5:K6)/100*I6)/$AA$2</f>
        <v>3.2082300224607851</v>
      </c>
      <c r="U6" s="114">
        <f t="shared" ref="U6:U64" si="8">(AVERAGE(L5:L6)/100*I6)/$AA$2</f>
        <v>1624.4048983994687</v>
      </c>
      <c r="V6" s="114">
        <f t="shared" ref="V6:V10" si="9">(AVERAGE(M5:M6)/100*I6)/$AA$2+Q6</f>
        <v>119.75348950090687</v>
      </c>
      <c r="W6" s="117" t="s">
        <v>254</v>
      </c>
      <c r="X6" s="104">
        <f>U6+V6-Y6</f>
        <v>9.97999738103249</v>
      </c>
      <c r="Y6" s="104">
        <f>U6/AVERAGE(L5:L6)*100</f>
        <v>1734.1783905193431</v>
      </c>
      <c r="AA6" t="s">
        <v>251</v>
      </c>
    </row>
    <row r="7" spans="2:45">
      <c r="B7" s="95">
        <f>[1]Rawdata!X9</f>
        <v>45443.487500000003</v>
      </c>
      <c r="C7" s="58">
        <f t="shared" si="4"/>
        <v>9.0881944444481633</v>
      </c>
      <c r="D7" s="110">
        <f t="shared" si="0"/>
        <v>6336.0000000000009</v>
      </c>
      <c r="E7" s="111">
        <f t="shared" si="1"/>
        <v>258.98221949724098</v>
      </c>
      <c r="F7" s="110">
        <f t="shared" si="2"/>
        <v>58852.799999999996</v>
      </c>
      <c r="G7" s="111">
        <f t="shared" si="3"/>
        <v>2405.5916615573265</v>
      </c>
      <c r="H7" s="112">
        <f>[1]Rawdata!G9-[1]Rawdata!G8</f>
        <v>91366</v>
      </c>
      <c r="I7" s="113">
        <f t="shared" si="7"/>
        <v>44090.831099140669</v>
      </c>
      <c r="J7" s="112">
        <v>0</v>
      </c>
      <c r="K7" s="112">
        <v>0.17499999999999999</v>
      </c>
      <c r="L7" s="112">
        <v>94.074999999999989</v>
      </c>
      <c r="M7" s="112">
        <v>6.9950000000000001</v>
      </c>
      <c r="N7" s="115" t="s">
        <v>254</v>
      </c>
      <c r="O7" s="112">
        <f t="shared" si="5"/>
        <v>101.24499999999999</v>
      </c>
      <c r="P7" s="105">
        <f>((M7/100)/Constants!$D$28/((10^-R7)^2))*(((10^-R7)^2)+(10^-R7)*Constants!$D$25+Constants!$D$25*Constants!$D$26)*1000</f>
        <v>3.3003143260180328</v>
      </c>
      <c r="Q7" s="105">
        <f>P7*(HRT!D7/1000)</f>
        <v>7.6643165691194122E-3</v>
      </c>
      <c r="R7" s="67">
        <f>Rawdata!F9</f>
        <v>5.94</v>
      </c>
      <c r="S7" s="114">
        <f>(AVERAGE(J6:J7)/100*I7)/$AA$2</f>
        <v>0</v>
      </c>
      <c r="T7" s="114">
        <f>(AVERAGE(K6:K7)/100*I7)/$AA$2</f>
        <v>2.6591203601277194</v>
      </c>
      <c r="U7" s="114">
        <f t="shared" si="8"/>
        <v>1636.4488249048291</v>
      </c>
      <c r="V7" s="114">
        <f t="shared" si="9"/>
        <v>120.97584463385473</v>
      </c>
      <c r="W7" s="117" t="s">
        <v>254</v>
      </c>
      <c r="X7" s="104">
        <f>U7+V7-Y7</f>
        <v>13.739187487720301</v>
      </c>
      <c r="Y7" s="104">
        <f t="shared" ref="Y7:Y64" si="10">U7/AVERAGE(L6:L7)*100</f>
        <v>1743.6854820509634</v>
      </c>
      <c r="AA7" t="s">
        <v>252</v>
      </c>
    </row>
    <row r="8" spans="2:45" s="98" customFormat="1">
      <c r="B8" s="96">
        <f>[1]Rawdata!X10</f>
        <v>45443.673611111109</v>
      </c>
      <c r="C8" s="97">
        <f t="shared" si="4"/>
        <v>9.2743055555547471</v>
      </c>
      <c r="D8" s="110">
        <f t="shared" si="0"/>
        <v>6336.0000000000009</v>
      </c>
      <c r="E8" s="111">
        <f t="shared" si="1"/>
        <v>258.98221949724098</v>
      </c>
      <c r="F8" s="110">
        <f t="shared" si="2"/>
        <v>58852.799999999996</v>
      </c>
      <c r="G8" s="111">
        <f t="shared" si="3"/>
        <v>2405.5916615573265</v>
      </c>
      <c r="H8" s="112">
        <f>[1]Rawdata!G10-[1]Rawdata!G9</f>
        <v>8240</v>
      </c>
      <c r="I8" s="113">
        <f t="shared" si="7"/>
        <v>44274.626866748651</v>
      </c>
      <c r="J8" s="112">
        <v>0</v>
      </c>
      <c r="K8" s="115">
        <f>AVERAGE(K7,K9)</f>
        <v>0.2225</v>
      </c>
      <c r="L8" s="115">
        <f t="shared" ref="L8:M8" si="11">AVERAGE(L7,L9)</f>
        <v>93.634999999999991</v>
      </c>
      <c r="M8" s="115">
        <f t="shared" si="11"/>
        <v>7.02</v>
      </c>
      <c r="N8" s="115" t="s">
        <v>254</v>
      </c>
      <c r="O8" s="112">
        <f t="shared" si="5"/>
        <v>100.87749999999998</v>
      </c>
      <c r="P8" s="118">
        <f>AVERAGE(P9,P7)</f>
        <v>3.271260808947658</v>
      </c>
      <c r="Q8" s="105">
        <f>P8*(HRT!D8/1000)</f>
        <v>0</v>
      </c>
      <c r="R8" s="67">
        <f>Rawdata!F10</f>
        <v>5.89</v>
      </c>
      <c r="S8" s="114">
        <f t="shared" ref="S8:S64" si="12">(AVERAGE(J7:J8)/100*I8)/$AA$2</f>
        <v>0</v>
      </c>
      <c r="T8" s="114">
        <f t="shared" ref="T8:T64" si="13">(AVERAGE(K7:K8)/100*I8)/$AA$2</f>
        <v>3.4800213911912885</v>
      </c>
      <c r="U8" s="114">
        <f>(AVERAGE(L7:L8)/100*I8)/$AA$2</f>
        <v>1643.3580260138788</v>
      </c>
      <c r="V8" s="114">
        <f t="shared" si="9"/>
        <v>122.69811269822871</v>
      </c>
      <c r="W8" s="117" t="s">
        <v>254</v>
      </c>
      <c r="X8" s="104">
        <f t="shared" si="6"/>
        <v>15.101979622150793</v>
      </c>
      <c r="Y8" s="104">
        <f t="shared" si="10"/>
        <v>1750.9541590899566</v>
      </c>
      <c r="AA8" s="98" t="s">
        <v>255</v>
      </c>
    </row>
    <row r="9" spans="2:45">
      <c r="B9" s="95">
        <f>[1]Rawdata!X11</f>
        <v>45446.392361111109</v>
      </c>
      <c r="C9" s="58">
        <f t="shared" si="4"/>
        <v>11.993055555554747</v>
      </c>
      <c r="D9" s="110">
        <f t="shared" si="0"/>
        <v>6336.0000000000009</v>
      </c>
      <c r="E9" s="111">
        <f t="shared" si="1"/>
        <v>258.98221949724098</v>
      </c>
      <c r="F9" s="110">
        <f t="shared" si="2"/>
        <v>58852.799999999996</v>
      </c>
      <c r="G9" s="111">
        <f t="shared" si="3"/>
        <v>2405.5916615573265</v>
      </c>
      <c r="H9" s="112">
        <f>[1]Rawdata!G11-[1]Rawdata!G10</f>
        <v>123674</v>
      </c>
      <c r="I9" s="113">
        <f>H9/(C9-C8)</f>
        <v>45489.287356321838</v>
      </c>
      <c r="J9" s="112">
        <v>0</v>
      </c>
      <c r="K9" s="112">
        <v>0.27</v>
      </c>
      <c r="L9" s="112">
        <v>93.194999999999993</v>
      </c>
      <c r="M9" s="112">
        <v>7.0449999999999999</v>
      </c>
      <c r="N9" s="115" t="s">
        <v>254</v>
      </c>
      <c r="O9" s="112">
        <f t="shared" si="5"/>
        <v>100.50999999999999</v>
      </c>
      <c r="P9" s="105">
        <f>((M9/100)/Constants!$D$28/((10^-R9)^2))*(((10^-R9)^2)+(10^-R9)*Constants!$D$25+Constants!$D$25*Constants!$D$26)*1000</f>
        <v>3.2422072918772828</v>
      </c>
      <c r="Q9" s="105">
        <f>P9*(HRT!D9/1000)</f>
        <v>1.5511445650683306</v>
      </c>
      <c r="R9" s="67">
        <f>Rawdata!F11</f>
        <v>5.9</v>
      </c>
      <c r="S9" s="114">
        <f>(AVERAGE(J8:J9)/100*I9)/$AA$2</f>
        <v>0</v>
      </c>
      <c r="T9" s="114">
        <f>(AVERAGE(K8:K9)/100*I9)/$AA$2</f>
        <v>4.4300154281002344</v>
      </c>
      <c r="U9" s="114">
        <f>(AVERAGE(L8:L9)/100*I9)/$AA$2</f>
        <v>1680.5274770192216</v>
      </c>
      <c r="V9" s="114">
        <f>(AVERAGE(M8:M9)/100*I9)/$AA$2+Q9</f>
        <v>128.06518922746383</v>
      </c>
      <c r="W9" s="117" t="s">
        <v>254</v>
      </c>
      <c r="X9" s="104">
        <f t="shared" si="6"/>
        <v>9.601629454712338</v>
      </c>
      <c r="Y9" s="104">
        <f t="shared" si="10"/>
        <v>1798.9910367919731</v>
      </c>
    </row>
    <row r="10" spans="2:45">
      <c r="B10" s="95">
        <f>[1]Rawdata!X12</f>
        <v>45448.444444444445</v>
      </c>
      <c r="C10" s="58">
        <f t="shared" si="4"/>
        <v>14.045138888890506</v>
      </c>
      <c r="D10" s="110">
        <f t="shared" si="0"/>
        <v>6336.0000000000009</v>
      </c>
      <c r="E10" s="111">
        <f t="shared" si="1"/>
        <v>258.98221949724098</v>
      </c>
      <c r="F10" s="110">
        <f t="shared" si="2"/>
        <v>58852.799999999996</v>
      </c>
      <c r="G10" s="111">
        <f t="shared" si="3"/>
        <v>2405.5916615573265</v>
      </c>
      <c r="H10" s="112">
        <f>[1]Rawdata!G12-[1]Rawdata!G11</f>
        <v>93606</v>
      </c>
      <c r="I10" s="113">
        <f t="shared" si="7"/>
        <v>45615.106598930863</v>
      </c>
      <c r="J10" s="112">
        <v>0.01</v>
      </c>
      <c r="K10" s="112">
        <v>0.32500000000000001</v>
      </c>
      <c r="L10" s="112">
        <v>92.82</v>
      </c>
      <c r="M10" s="112">
        <v>7.04</v>
      </c>
      <c r="N10" s="115" t="s">
        <v>254</v>
      </c>
      <c r="O10" s="112">
        <f t="shared" si="5"/>
        <v>100.19499999999999</v>
      </c>
      <c r="P10" s="105">
        <f>((M10/100)/Constants!$D$28/((10^-R10)^2))*(((10^-R10)^2)+(10^-R10)*Constants!$D$25+Constants!$D$25*Constants!$D$26)*1000</f>
        <v>3.1654505558658252</v>
      </c>
      <c r="Q10" s="105">
        <f>P10*(HRT!D10/1000)</f>
        <v>1.4673154835443847</v>
      </c>
      <c r="R10" s="67">
        <f>Rawdata!F12</f>
        <v>5.86</v>
      </c>
      <c r="S10" s="114">
        <f t="shared" si="12"/>
        <v>9.0198344140889938E-2</v>
      </c>
      <c r="T10" s="114">
        <f t="shared" si="13"/>
        <v>5.3668014763829515</v>
      </c>
      <c r="U10" s="114">
        <f t="shared" si="8"/>
        <v>1677.8244985367642</v>
      </c>
      <c r="V10" s="114">
        <f t="shared" si="9"/>
        <v>128.51168320598788</v>
      </c>
      <c r="W10" s="117" t="s">
        <v>254</v>
      </c>
      <c r="X10" s="104">
        <f t="shared" si="6"/>
        <v>2.3692989249534548</v>
      </c>
      <c r="Y10" s="104">
        <f t="shared" si="10"/>
        <v>1803.9668828177987</v>
      </c>
      <c r="AA10" t="s">
        <v>332</v>
      </c>
    </row>
    <row r="11" spans="2:45">
      <c r="B11" s="95">
        <f>[1]Rawdata!X13</f>
        <v>45450.4375</v>
      </c>
      <c r="C11" s="58">
        <f t="shared" si="4"/>
        <v>16.038194444445253</v>
      </c>
      <c r="D11" s="110">
        <f t="shared" si="0"/>
        <v>6336.0000000000009</v>
      </c>
      <c r="E11" s="111">
        <f t="shared" si="1"/>
        <v>258.98221949724098</v>
      </c>
      <c r="F11" s="110">
        <f t="shared" si="2"/>
        <v>58852.799999999996</v>
      </c>
      <c r="G11" s="111">
        <f t="shared" si="3"/>
        <v>2405.5916615573265</v>
      </c>
      <c r="H11" s="112">
        <f>[1]Rawdata!G13-[1]Rawdata!G12</f>
        <v>91996</v>
      </c>
      <c r="I11" s="113">
        <f t="shared" si="7"/>
        <v>46158.271777022208</v>
      </c>
      <c r="J11" s="112">
        <v>0.01</v>
      </c>
      <c r="K11" s="112">
        <v>0.47</v>
      </c>
      <c r="L11" s="112">
        <v>92.77000000000001</v>
      </c>
      <c r="M11" s="112">
        <v>7.1</v>
      </c>
      <c r="N11" s="115" t="s">
        <v>254</v>
      </c>
      <c r="O11" s="112">
        <f t="shared" si="5"/>
        <v>100.35000000000001</v>
      </c>
      <c r="P11" s="105">
        <f>((M11/100)/Constants!$D$28/((10^-R11)^2))*(((10^-R11)^2)+(10^-R11)*Constants!$D$25+Constants!$D$25*Constants!$D$26)*1000</f>
        <v>3.2105580206253608</v>
      </c>
      <c r="Q11" s="105">
        <f>P11*(HRT!D11/1000)</f>
        <v>1.5575912034394064</v>
      </c>
      <c r="R11" s="67">
        <f>Rawdata!F13</f>
        <v>5.87</v>
      </c>
      <c r="S11" s="114">
        <f t="shared" si="12"/>
        <v>0.18254477488342249</v>
      </c>
      <c r="T11" s="114">
        <f t="shared" si="13"/>
        <v>7.2561548016160415</v>
      </c>
      <c r="U11" s="114">
        <f t="shared" si="8"/>
        <v>1693.9242385307191</v>
      </c>
      <c r="V11" s="114">
        <f t="shared" ref="V11:V64" si="14">(AVERAGE(M10:M11)/100*I11)/$AA$2+Q11</f>
        <v>130.6167470460191</v>
      </c>
      <c r="W11" s="117" t="s">
        <v>254</v>
      </c>
      <c r="X11" s="104">
        <f t="shared" si="6"/>
        <v>-0.906763257486773</v>
      </c>
      <c r="Y11" s="104">
        <f t="shared" si="10"/>
        <v>1825.447748834225</v>
      </c>
      <c r="AA11" t="s">
        <v>317</v>
      </c>
      <c r="AB11" t="s">
        <v>318</v>
      </c>
      <c r="AC11" t="s">
        <v>312</v>
      </c>
      <c r="AD11" t="s">
        <v>319</v>
      </c>
      <c r="AE11" t="s">
        <v>312</v>
      </c>
      <c r="AF11" t="s">
        <v>320</v>
      </c>
      <c r="AG11" t="s">
        <v>312</v>
      </c>
      <c r="AH11" t="s">
        <v>321</v>
      </c>
      <c r="AI11" t="s">
        <v>312</v>
      </c>
      <c r="AJ11" t="s">
        <v>322</v>
      </c>
      <c r="AK11" t="s">
        <v>312</v>
      </c>
      <c r="AL11" t="s">
        <v>323</v>
      </c>
      <c r="AM11" t="s">
        <v>312</v>
      </c>
    </row>
    <row r="12" spans="2:45">
      <c r="B12" s="95">
        <f>[1]Rawdata!X14</f>
        <v>45453.392361111109</v>
      </c>
      <c r="C12" s="58">
        <f t="shared" si="4"/>
        <v>18.993055555554747</v>
      </c>
      <c r="D12" s="110">
        <f t="shared" si="0"/>
        <v>6336.0000000000009</v>
      </c>
      <c r="E12" s="111">
        <f t="shared" si="1"/>
        <v>258.98221949724098</v>
      </c>
      <c r="F12" s="110">
        <f t="shared" si="2"/>
        <v>58852.799999999996</v>
      </c>
      <c r="G12" s="111">
        <f t="shared" si="3"/>
        <v>2405.5916615573265</v>
      </c>
      <c r="H12" s="112">
        <f>[1]Rawdata!G14-[1]Rawdata!G13</f>
        <v>135492</v>
      </c>
      <c r="I12" s="113">
        <f t="shared" si="7"/>
        <v>45853.931844913459</v>
      </c>
      <c r="J12" s="112">
        <v>0</v>
      </c>
      <c r="K12" s="112">
        <v>0.57499999999999996</v>
      </c>
      <c r="L12" s="112">
        <v>93.394999999999996</v>
      </c>
      <c r="M12" s="112">
        <v>6.81</v>
      </c>
      <c r="N12" s="115" t="s">
        <v>254</v>
      </c>
      <c r="O12" s="112">
        <f t="shared" si="5"/>
        <v>100.78</v>
      </c>
      <c r="P12" s="105">
        <f>((M12/100)/Constants!$D$28/((10^-R12)^2))*(((10^-R12)^2)+(10^-R12)*Constants!$D$25+Constants!$D$25*Constants!$D$26)*1000</f>
        <v>2.9963483511331721</v>
      </c>
      <c r="Q12" s="105">
        <f>P12*(HRT!D12/1000)</f>
        <v>1.4252955678675387</v>
      </c>
      <c r="R12" s="67">
        <f>Rawdata!F14</f>
        <v>5.82</v>
      </c>
      <c r="S12" s="114">
        <f t="shared" si="12"/>
        <v>9.067059211601966E-2</v>
      </c>
      <c r="T12" s="114">
        <f t="shared" si="13"/>
        <v>9.4750768761240529</v>
      </c>
      <c r="U12" s="114">
        <f t="shared" si="8"/>
        <v>1687.96907812788</v>
      </c>
      <c r="V12" s="114">
        <f>(AVERAGE(M11:M12)/100*I12)/$AA$2+Q12</f>
        <v>127.54808920125087</v>
      </c>
      <c r="W12" s="117" t="s">
        <v>254</v>
      </c>
      <c r="X12" s="104">
        <f t="shared" si="6"/>
        <v>2.1053250087379638</v>
      </c>
      <c r="Y12" s="104">
        <f t="shared" si="10"/>
        <v>1813.4118423203929</v>
      </c>
      <c r="AA12" t="s">
        <v>325</v>
      </c>
      <c r="AB12" s="244" t="s">
        <v>326</v>
      </c>
      <c r="AC12" s="244"/>
      <c r="AD12" s="244" t="s">
        <v>327</v>
      </c>
      <c r="AE12" s="244"/>
      <c r="AF12" s="244" t="s">
        <v>335</v>
      </c>
      <c r="AG12" s="244"/>
      <c r="AH12" s="244" t="s">
        <v>328</v>
      </c>
      <c r="AI12" s="244"/>
      <c r="AJ12" s="244" t="s">
        <v>329</v>
      </c>
      <c r="AK12" s="244"/>
      <c r="AL12" s="244" t="s">
        <v>330</v>
      </c>
      <c r="AM12" s="244"/>
    </row>
    <row r="13" spans="2:45">
      <c r="B13" s="95">
        <f>[1]Rawdata!X15</f>
        <v>45455.444444444445</v>
      </c>
      <c r="C13" s="58">
        <f t="shared" si="4"/>
        <v>21.045138888890506</v>
      </c>
      <c r="D13" s="110">
        <f t="shared" si="0"/>
        <v>6336.0000000000009</v>
      </c>
      <c r="E13" s="111">
        <f t="shared" si="1"/>
        <v>258.98221949724098</v>
      </c>
      <c r="F13" s="110">
        <f t="shared" si="2"/>
        <v>58852.799999999996</v>
      </c>
      <c r="G13" s="111">
        <f t="shared" si="3"/>
        <v>2405.5916615573265</v>
      </c>
      <c r="H13" s="112">
        <f>[1]Rawdata!G15-[1]Rawdata!G14</f>
        <v>93052</v>
      </c>
      <c r="I13" s="113">
        <f t="shared" si="7"/>
        <v>45345.137055783969</v>
      </c>
      <c r="J13" s="112">
        <v>0</v>
      </c>
      <c r="K13" s="112">
        <v>0.56499999999999995</v>
      </c>
      <c r="L13" s="112">
        <v>93.009999999999991</v>
      </c>
      <c r="M13" s="112">
        <v>6.6400000000000006</v>
      </c>
      <c r="N13" s="115" t="s">
        <v>254</v>
      </c>
      <c r="O13" s="112">
        <f t="shared" si="5"/>
        <v>100.21499999999999</v>
      </c>
      <c r="P13" s="105">
        <f>((M13/100)/Constants!$D$28/((10^-R13)^2))*(((10^-R13)^2)+(10^-R13)*Constants!$D$25+Constants!$D$25*Constants!$D$26)*1000</f>
        <v>2.7386222181796516</v>
      </c>
      <c r="Q13" s="105">
        <f>P13*(HRT!D13/1000)</f>
        <v>1.4514297913718031</v>
      </c>
      <c r="R13" s="67">
        <f>Rawdata!F15</f>
        <v>5.68</v>
      </c>
      <c r="S13" s="114">
        <f>(AVERAGE(J12:J13)/100*I13)/$AA$2</f>
        <v>0</v>
      </c>
      <c r="T13" s="114">
        <f t="shared" si="13"/>
        <v>10.221754378627248</v>
      </c>
      <c r="U13" s="114">
        <f t="shared" si="8"/>
        <v>1671.3913376736948</v>
      </c>
      <c r="V13" s="114">
        <f>(AVERAGE(M12:M13)/100*I13)/$AA$2+Q13</f>
        <v>122.05019855675468</v>
      </c>
      <c r="W13" s="117" t="s">
        <v>254</v>
      </c>
      <c r="X13" s="104">
        <f t="shared" si="6"/>
        <v>0.15129436601978341</v>
      </c>
      <c r="Y13" s="104">
        <f t="shared" si="10"/>
        <v>1793.2902418644296</v>
      </c>
      <c r="Z13" s="119"/>
      <c r="AA13" s="119" t="s">
        <v>27</v>
      </c>
      <c r="AB13" s="190">
        <f>AVERAGE(J9:J16)</f>
        <v>7.4999999999999997E-3</v>
      </c>
      <c r="AC13" s="190">
        <f>STDEVA(J9:J16)</f>
        <v>8.864052604279183E-3</v>
      </c>
      <c r="AD13" s="190">
        <f>AVERAGE(J20:J28)</f>
        <v>2.6666666666666665E-2</v>
      </c>
      <c r="AE13" s="190">
        <f>STDEVA(J20:J28)</f>
        <v>1.0000000000000007E-2</v>
      </c>
      <c r="AF13" s="190">
        <f>AVERAGE(J32:J37)</f>
        <v>0.14249999999999999</v>
      </c>
      <c r="AG13" s="190">
        <f>STDEVA(J32:J37)</f>
        <v>3.9465174521342308E-2</v>
      </c>
      <c r="AH13" s="190">
        <f>AVERAGE(J41:J46)</f>
        <v>0.20750000000000002</v>
      </c>
      <c r="AI13" s="190">
        <f>STDEVA(J41:J46)</f>
        <v>0.19122630572178084</v>
      </c>
      <c r="AJ13" s="190">
        <f>AVERAGE(J47:J54)</f>
        <v>0.22125</v>
      </c>
      <c r="AK13" s="190">
        <f>STDEVA(J47:J54)</f>
        <v>0.23925106358921674</v>
      </c>
      <c r="AL13" s="79">
        <f>AVERAGE(J56:J64)</f>
        <v>0.2738888888888889</v>
      </c>
      <c r="AM13" s="79">
        <f>STDEVA(J56:J64)</f>
        <v>7.8810602783579084E-2</v>
      </c>
    </row>
    <row r="14" spans="2:45">
      <c r="B14" s="95">
        <f>[1]Rawdata!X16</f>
        <v>45457.413194444445</v>
      </c>
      <c r="C14" s="58">
        <f t="shared" si="4"/>
        <v>23.013888888890506</v>
      </c>
      <c r="D14" s="110">
        <f t="shared" si="0"/>
        <v>6336.0000000000009</v>
      </c>
      <c r="E14" s="111">
        <f t="shared" si="1"/>
        <v>258.98221949724098</v>
      </c>
      <c r="F14" s="110">
        <f t="shared" si="2"/>
        <v>58852.799999999996</v>
      </c>
      <c r="G14" s="111">
        <f t="shared" si="3"/>
        <v>2405.5916615573265</v>
      </c>
      <c r="H14" s="112">
        <f>[1]Rawdata!G16-[1]Rawdata!G15</f>
        <v>88200</v>
      </c>
      <c r="I14" s="113">
        <f>H14/(C14-C13)</f>
        <v>44800</v>
      </c>
      <c r="J14" s="112">
        <v>0</v>
      </c>
      <c r="K14" s="112">
        <v>0.19</v>
      </c>
      <c r="L14" s="112">
        <v>93.47999999999999</v>
      </c>
      <c r="M14" s="112">
        <v>6.87</v>
      </c>
      <c r="N14" s="115" t="s">
        <v>254</v>
      </c>
      <c r="O14" s="112">
        <f t="shared" si="5"/>
        <v>100.53999999999999</v>
      </c>
      <c r="P14" s="105">
        <f>((M14/100)/Constants!$D$28/((10^-R14)^2))*(((10^-R14)^2)+(10^-R14)*Constants!$D$25+Constants!$D$25*Constants!$D$26)*1000</f>
        <v>3.0071137698623422</v>
      </c>
      <c r="Q14" s="105">
        <f>P14*(HRT!D14/1000)</f>
        <v>1.5795828145537762</v>
      </c>
      <c r="R14" s="67">
        <f>Rawdata!F16</f>
        <v>5.81</v>
      </c>
      <c r="S14" s="114">
        <f t="shared" si="12"/>
        <v>0</v>
      </c>
      <c r="T14" s="114">
        <f t="shared" si="13"/>
        <v>6.6882860080677045</v>
      </c>
      <c r="U14" s="114">
        <f>(AVERAGE(L13:L14)/100*I14)/$AA$2</f>
        <v>1652.0509372775446</v>
      </c>
      <c r="V14" s="114">
        <f>(AVERAGE(M13:M14)/100*I14)/$AA$2+Q14</f>
        <v>121.26003840262625</v>
      </c>
      <c r="W14" s="117" t="s">
        <v>254</v>
      </c>
      <c r="X14" s="104">
        <f t="shared" si="6"/>
        <v>1.5795828145535324</v>
      </c>
      <c r="Y14" s="104">
        <f t="shared" si="10"/>
        <v>1771.7313928656172</v>
      </c>
      <c r="Z14" s="119"/>
      <c r="AA14" s="119" t="s">
        <v>334</v>
      </c>
      <c r="AB14" s="190">
        <f>AVERAGE(K9:K16)</f>
        <v>0.33</v>
      </c>
      <c r="AC14" s="190">
        <f>STDEVA(K9:K16)</f>
        <v>0.18715921411614075</v>
      </c>
      <c r="AD14" s="190">
        <f>AVERAGE(K20:K28)</f>
        <v>0.22972222222222222</v>
      </c>
      <c r="AE14" s="190">
        <f>STDEVA(K20:K28)</f>
        <v>0.1403925548041792</v>
      </c>
      <c r="AF14" s="190">
        <f>AVERAGE(K32:K37)</f>
        <v>0.16166666666666668</v>
      </c>
      <c r="AG14" s="190">
        <f>STDEVA(K32:K37)</f>
        <v>2.8401877872187623E-2</v>
      </c>
      <c r="AH14" s="190">
        <f>AVERAGE(K41:K46)</f>
        <v>0.11583333333333334</v>
      </c>
      <c r="AI14" s="190">
        <f>STDEVA(K41:K46)</f>
        <v>2.2453655975512344E-2</v>
      </c>
      <c r="AJ14" s="190">
        <f>AVERAGE(K47:K54)</f>
        <v>0.14000000000000001</v>
      </c>
      <c r="AK14" s="190">
        <f>STDEVA(K47:K54)</f>
        <v>2.9880715233359788E-2</v>
      </c>
      <c r="AL14" s="79">
        <f>AVERAGE(K56:K64)</f>
        <v>0.17499999999999999</v>
      </c>
      <c r="AM14" s="79">
        <f>STDEVA(K56:K64)</f>
        <v>1.6583123951776996E-2</v>
      </c>
    </row>
    <row r="15" spans="2:45">
      <c r="B15" s="95">
        <f>[1]Rawdata!X17</f>
        <v>45460.402777777781</v>
      </c>
      <c r="C15" s="58">
        <f t="shared" si="4"/>
        <v>26.003472222226264</v>
      </c>
      <c r="D15" s="110">
        <f t="shared" si="0"/>
        <v>6336.0000000000009</v>
      </c>
      <c r="E15" s="111">
        <f t="shared" si="1"/>
        <v>258.98221949724098</v>
      </c>
      <c r="F15" s="110">
        <f t="shared" si="2"/>
        <v>58852.799999999996</v>
      </c>
      <c r="G15" s="111">
        <f t="shared" si="3"/>
        <v>2405.5916615573265</v>
      </c>
      <c r="H15" s="112">
        <f>[1]Rawdata!G17-[1]Rawdata!G16</f>
        <v>134036</v>
      </c>
      <c r="I15" s="113">
        <f t="shared" si="7"/>
        <v>44834.34146337826</v>
      </c>
      <c r="J15" s="112">
        <v>0.02</v>
      </c>
      <c r="K15" s="112">
        <v>0.14500000000000002</v>
      </c>
      <c r="L15" s="112">
        <v>93.64</v>
      </c>
      <c r="M15" s="112">
        <v>6.79</v>
      </c>
      <c r="N15" s="115" t="s">
        <v>254</v>
      </c>
      <c r="O15" s="112">
        <f t="shared" si="5"/>
        <v>100.59500000000001</v>
      </c>
      <c r="P15" s="105">
        <f>((M15/100)/Constants!$D$28/((10^-R15)^2))*(((10^-R15)^2)+(10^-R15)*Constants!$D$25+Constants!$D$25*Constants!$D$26)*1000</f>
        <v>3.0360981327429775</v>
      </c>
      <c r="Q15" s="105">
        <f>P15*(HRT!D15/1000)</f>
        <v>1.5999982801447077</v>
      </c>
      <c r="R15" s="67">
        <f>Rawdata!F17</f>
        <v>5.85</v>
      </c>
      <c r="S15" s="114">
        <f t="shared" si="12"/>
        <v>0.17730895144893719</v>
      </c>
      <c r="T15" s="114">
        <f t="shared" si="13"/>
        <v>2.969924936769698</v>
      </c>
      <c r="U15" s="114">
        <f>(AVERAGE(L14:L15)/100*I15)/$AA$2</f>
        <v>1658.9025497562561</v>
      </c>
      <c r="V15" s="114">
        <f>(AVERAGE(M14:M15)/100*I15)/$AA$2+Q15</f>
        <v>122.70201211976881</v>
      </c>
      <c r="W15" s="117" t="s">
        <v>254</v>
      </c>
      <c r="X15" s="104">
        <f t="shared" si="6"/>
        <v>8.5150473866533503</v>
      </c>
      <c r="Y15" s="104">
        <f t="shared" si="10"/>
        <v>1773.0895144893716</v>
      </c>
      <c r="Z15" s="119"/>
      <c r="AA15" s="119" t="s">
        <v>333</v>
      </c>
      <c r="AB15" s="190">
        <f>AVERAGE(L9:L16)</f>
        <v>93.272499999999994</v>
      </c>
      <c r="AC15" s="190">
        <f>STDEVA(L9:L16)</f>
        <v>0.39321023093796281</v>
      </c>
      <c r="AD15" s="190">
        <f>AVERAGE(L20:L28)</f>
        <v>93.682777777777773</v>
      </c>
      <c r="AE15" s="190">
        <f>STDEVA(L20:L28)</f>
        <v>0.62092728595580959</v>
      </c>
      <c r="AF15" s="190">
        <f>AVERAGE(L32:L37)</f>
        <v>92.326666666666668</v>
      </c>
      <c r="AG15" s="190">
        <f>STDEVA(L32:L37)</f>
        <v>0.47730929874313582</v>
      </c>
      <c r="AH15" s="190">
        <f>AVERAGE(L41:L46)</f>
        <v>92.64666666666669</v>
      </c>
      <c r="AI15" s="190">
        <f>STDEVA(L41:L46)</f>
        <v>0.45980068145519937</v>
      </c>
      <c r="AJ15" s="190">
        <f>AVERAGE(L47:L54)</f>
        <v>92.869374999999991</v>
      </c>
      <c r="AK15" s="190">
        <f>STDEVA(L47:L54)</f>
        <v>0.33613812530820153</v>
      </c>
      <c r="AL15" s="79">
        <f>AVERAGE(L56:L64)</f>
        <v>93.128888888888881</v>
      </c>
      <c r="AM15" s="79">
        <f>STDEVA(L56:L64)</f>
        <v>0.35473385954981929</v>
      </c>
    </row>
    <row r="16" spans="2:45">
      <c r="B16" s="95">
        <f>[1]Rawdata!X18</f>
        <v>45462.429166666669</v>
      </c>
      <c r="C16" s="58">
        <f t="shared" si="4"/>
        <v>28.02986111111386</v>
      </c>
      <c r="D16" s="110">
        <f t="shared" si="0"/>
        <v>6336.0000000000009</v>
      </c>
      <c r="E16" s="111">
        <f t="shared" si="1"/>
        <v>258.98221949724098</v>
      </c>
      <c r="F16" s="110">
        <f t="shared" si="2"/>
        <v>58852.799999999996</v>
      </c>
      <c r="G16" s="111">
        <f t="shared" si="3"/>
        <v>2405.5916615573265</v>
      </c>
      <c r="H16" s="112">
        <f>[1]Rawdata!G18-[1]Rawdata!G17</f>
        <v>90609</v>
      </c>
      <c r="I16" s="113">
        <f t="shared" si="7"/>
        <v>44714.516792352049</v>
      </c>
      <c r="J16" s="112">
        <v>0.02</v>
      </c>
      <c r="K16" s="112">
        <v>0.1</v>
      </c>
      <c r="L16" s="112">
        <v>93.87</v>
      </c>
      <c r="M16" s="112">
        <v>6.85</v>
      </c>
      <c r="N16" s="115" t="s">
        <v>254</v>
      </c>
      <c r="O16" s="112">
        <f t="shared" si="5"/>
        <v>100.84</v>
      </c>
      <c r="P16" s="105">
        <f>((M16/100)/Constants!$D$28/((10^-R16)^2))*(((10^-R16)^2)+(10^-R16)*Constants!$D$25+Constants!$D$25*Constants!$D$26)*1000</f>
        <v>3.0139480477624412</v>
      </c>
      <c r="Q16" s="105">
        <f>P16*(HRT!D16/1000)</f>
        <v>1.5282500932194445</v>
      </c>
      <c r="R16" s="67">
        <f>Rawdata!F18</f>
        <v>5.82</v>
      </c>
      <c r="S16" s="114">
        <f t="shared" si="12"/>
        <v>0.35367014784744166</v>
      </c>
      <c r="T16" s="114">
        <f t="shared" si="13"/>
        <v>2.1662296555655804</v>
      </c>
      <c r="U16" s="114">
        <f t="shared" si="8"/>
        <v>1657.9172355718447</v>
      </c>
      <c r="V16" s="114">
        <f>(AVERAGE(M15:M16)/100*I16)/$AA$2+Q16</f>
        <v>122.12977050919703</v>
      </c>
      <c r="W16" s="117" t="s">
        <v>254</v>
      </c>
      <c r="X16" s="104">
        <f t="shared" si="6"/>
        <v>11.6962668438332</v>
      </c>
      <c r="Y16" s="104">
        <f t="shared" si="10"/>
        <v>1768.3507392372085</v>
      </c>
      <c r="Z16" s="119"/>
      <c r="AA16" s="119" t="s">
        <v>28</v>
      </c>
      <c r="AB16" s="190">
        <f>AVERAGE(M9:M16)</f>
        <v>6.8931250000000004</v>
      </c>
      <c r="AC16" s="190">
        <f>STDEVA(M9:M16)</f>
        <v>0.15650051346332916</v>
      </c>
      <c r="AD16" s="190">
        <f>AVERAGE(M20:M28)</f>
        <v>6.2941666666666656</v>
      </c>
      <c r="AE16" s="190">
        <f>STDEVA(M20:M28)</f>
        <v>0.15016657417681187</v>
      </c>
      <c r="AF16" s="190">
        <f>AVERAGE(M32:M37)</f>
        <v>7.5741666666666667</v>
      </c>
      <c r="AG16" s="190">
        <f>STDEVA(M32:M37)</f>
        <v>0.31114573220063113</v>
      </c>
      <c r="AH16" s="190">
        <f>AVERAGE(M41:M46)</f>
        <v>7.9974999999999996</v>
      </c>
      <c r="AI16" s="190">
        <f>STDEVA(M41:M46)</f>
        <v>0.2310140688356446</v>
      </c>
      <c r="AJ16" s="190">
        <f>AVERAGE(M47:M54)</f>
        <v>7.6250000000000009</v>
      </c>
      <c r="AK16" s="190">
        <f>STDEVA(M47:M54)</f>
        <v>0.22383029285599423</v>
      </c>
      <c r="AL16" s="190">
        <f>AVERAGE(M56:M64)</f>
        <v>6.8894444444444458</v>
      </c>
      <c r="AM16" s="190">
        <f>STDEVA(M56:M64)</f>
        <v>0.35061949144019056</v>
      </c>
      <c r="AN16" s="119"/>
      <c r="AO16" s="119"/>
    </row>
    <row r="17" spans="2:41" s="98" customFormat="1">
      <c r="B17" s="96">
        <f>[1]Rawdata!X19</f>
        <v>45463.548611111109</v>
      </c>
      <c r="C17" s="97">
        <f t="shared" si="4"/>
        <v>29.149305555554747</v>
      </c>
      <c r="D17" s="110">
        <f t="shared" si="0"/>
        <v>6336.0000000000009</v>
      </c>
      <c r="E17" s="111">
        <f t="shared" si="1"/>
        <v>258.98221949724098</v>
      </c>
      <c r="F17" s="110">
        <f t="shared" si="2"/>
        <v>58852.799999999996</v>
      </c>
      <c r="G17" s="111">
        <f t="shared" si="3"/>
        <v>2405.5916615573265</v>
      </c>
      <c r="H17" s="112">
        <f>[1]Rawdata!G19-[1]Rawdata!G18</f>
        <v>50091</v>
      </c>
      <c r="I17" s="113">
        <f t="shared" si="7"/>
        <v>44746.302729670722</v>
      </c>
      <c r="J17" s="112">
        <f>AVERAGE(J18,J16)</f>
        <v>2.5000000000000001E-2</v>
      </c>
      <c r="K17" s="112">
        <f t="shared" ref="K17:M17" si="15">AVERAGE(K18,K16)</f>
        <v>0.13250000000000001</v>
      </c>
      <c r="L17" s="112">
        <f t="shared" si="15"/>
        <v>93.572500000000005</v>
      </c>
      <c r="M17" s="112">
        <f t="shared" si="15"/>
        <v>6.8249999999999993</v>
      </c>
      <c r="N17" s="115"/>
      <c r="O17" s="112">
        <f t="shared" si="5"/>
        <v>100.55500000000001</v>
      </c>
      <c r="P17" s="105">
        <f>((M17/100)/Constants!$D$28/((10^-R17)^2))*(((10^-R17)^2)+(10^-R17)*Constants!$D$25+Constants!$D$25*Constants!$D$26)*1000</f>
        <v>3.1222867573542437</v>
      </c>
      <c r="Q17" s="105">
        <f>P17*(HRT!D17/1000)</f>
        <v>1.5589883351514278</v>
      </c>
      <c r="R17" s="67">
        <f>Rawdata!F19</f>
        <v>5.89</v>
      </c>
      <c r="S17" s="114">
        <f t="shared" si="12"/>
        <v>0.39816175410013094</v>
      </c>
      <c r="T17" s="114">
        <f t="shared" si="13"/>
        <v>2.0571690628506767</v>
      </c>
      <c r="U17" s="114">
        <f t="shared" si="8"/>
        <v>1658.4985465091956</v>
      </c>
      <c r="V17" s="114">
        <f t="shared" si="14"/>
        <v>122.55592138669122</v>
      </c>
      <c r="W17" s="117" t="s">
        <v>254</v>
      </c>
      <c r="X17" s="104">
        <f t="shared" si="6"/>
        <v>11.446671895304462</v>
      </c>
      <c r="Y17" s="104">
        <f t="shared" si="10"/>
        <v>1769.6077960005823</v>
      </c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</row>
    <row r="18" spans="2:41">
      <c r="B18" s="95">
        <f>[1]Rawdata!X20</f>
        <v>45464.390277777777</v>
      </c>
      <c r="C18" s="58">
        <f t="shared" si="4"/>
        <v>29.990972222221899</v>
      </c>
      <c r="D18" s="110">
        <f t="shared" si="0"/>
        <v>6336.0000000000009</v>
      </c>
      <c r="E18" s="111">
        <f t="shared" si="1"/>
        <v>258.98221949724098</v>
      </c>
      <c r="F18" s="110">
        <f t="shared" si="2"/>
        <v>58852.799999999996</v>
      </c>
      <c r="G18" s="111">
        <f t="shared" si="3"/>
        <v>2405.5916615573265</v>
      </c>
      <c r="H18" s="112">
        <f>[1]Rawdata!G20-[1]Rawdata!G19</f>
        <v>37860</v>
      </c>
      <c r="I18" s="113">
        <f t="shared" si="7"/>
        <v>44982.178217795859</v>
      </c>
      <c r="J18" s="112">
        <v>0.03</v>
      </c>
      <c r="K18" s="112">
        <v>0.16499999999999998</v>
      </c>
      <c r="L18" s="112">
        <v>93.275000000000006</v>
      </c>
      <c r="M18" s="112">
        <v>6.8</v>
      </c>
      <c r="N18" s="115" t="s">
        <v>254</v>
      </c>
      <c r="O18" s="112">
        <f t="shared" si="5"/>
        <v>100.27</v>
      </c>
      <c r="P18" s="105">
        <f>((M18/100)/Constants!$D$28/((10^-R18)^2))*(((10^-R18)^2)+(10^-R18)*Constants!$D$25+Constants!$D$25*Constants!$D$26)*1000</f>
        <v>3.2947762656688151</v>
      </c>
      <c r="Q18" s="105">
        <f>P18*(HRT!D18/1000)</f>
        <v>1.7942968687050735</v>
      </c>
      <c r="R18" s="67">
        <f>Rawdata!F20</f>
        <v>5.98</v>
      </c>
      <c r="S18" s="114">
        <f t="shared" si="12"/>
        <v>0.48920742742600098</v>
      </c>
      <c r="T18" s="114">
        <f t="shared" si="13"/>
        <v>2.6461674483497326</v>
      </c>
      <c r="U18" s="114">
        <f t="shared" si="8"/>
        <v>1661.9488144723587</v>
      </c>
      <c r="V18" s="114">
        <f t="shared" si="14"/>
        <v>122.98431866287352</v>
      </c>
      <c r="W18" s="117" t="s">
        <v>254</v>
      </c>
      <c r="X18" s="104">
        <f t="shared" si="6"/>
        <v>5.997033404319609</v>
      </c>
      <c r="Y18" s="104">
        <f t="shared" si="10"/>
        <v>1778.9360997309125</v>
      </c>
      <c r="Z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</row>
    <row r="19" spans="2:41">
      <c r="B19" s="95">
        <f>[1]Rawdata!X21</f>
        <v>45467.390277777777</v>
      </c>
      <c r="C19" s="58">
        <f t="shared" si="4"/>
        <v>32.990972222221899</v>
      </c>
      <c r="D19" s="110">
        <f t="shared" si="0"/>
        <v>6336.0000000000009</v>
      </c>
      <c r="E19" s="111">
        <f t="shared" si="1"/>
        <v>258.98221949724098</v>
      </c>
      <c r="F19" s="110">
        <f t="shared" si="2"/>
        <v>58852.799999999996</v>
      </c>
      <c r="G19" s="111">
        <f t="shared" si="3"/>
        <v>2405.5916615573265</v>
      </c>
      <c r="H19" s="112">
        <f>[1]Rawdata!G21-[1]Rawdata!G20</f>
        <v>135584</v>
      </c>
      <c r="I19" s="113">
        <f t="shared" si="7"/>
        <v>45194.666666666664</v>
      </c>
      <c r="J19" s="112">
        <v>7.0000000000000007E-2</v>
      </c>
      <c r="K19" s="112">
        <v>0.17</v>
      </c>
      <c r="L19" s="112">
        <v>93.525000000000006</v>
      </c>
      <c r="M19" s="112">
        <v>6.65</v>
      </c>
      <c r="N19" s="115" t="s">
        <v>254</v>
      </c>
      <c r="O19" s="112">
        <f t="shared" si="5"/>
        <v>100.41500000000001</v>
      </c>
      <c r="P19" s="105">
        <f>((M19/100)/Constants!$D$28/((10^-R19)^2))*(((10^-R19)^2)+(10^-R19)*Constants!$D$25+Constants!$D$25*Constants!$D$26)*1000</f>
        <v>2.867451494820521</v>
      </c>
      <c r="Q19" s="105">
        <f>P19*(HRT!D19/1000)</f>
        <v>1.6120784705695268</v>
      </c>
      <c r="R19" s="67">
        <f>Rawdata!F21</f>
        <v>5.78</v>
      </c>
      <c r="S19" s="114">
        <f t="shared" si="12"/>
        <v>0.89366975137757376</v>
      </c>
      <c r="T19" s="114">
        <f t="shared" si="13"/>
        <v>2.9937936671148724</v>
      </c>
      <c r="U19" s="114">
        <f t="shared" si="8"/>
        <v>1669.3750955733078</v>
      </c>
      <c r="V19" s="114">
        <f t="shared" si="14"/>
        <v>121.81066003085319</v>
      </c>
      <c r="W19" s="117" t="s">
        <v>254</v>
      </c>
      <c r="X19" s="104">
        <f t="shared" si="6"/>
        <v>3.846252849013581</v>
      </c>
      <c r="Y19" s="104">
        <f t="shared" si="10"/>
        <v>1787.3395027551474</v>
      </c>
      <c r="Z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</row>
    <row r="20" spans="2:41">
      <c r="B20" s="95">
        <f>[1]Rawdata!X22</f>
        <v>45469.401388888888</v>
      </c>
      <c r="C20" s="58">
        <f t="shared" si="4"/>
        <v>35.002083333332848</v>
      </c>
      <c r="D20" s="110">
        <f t="shared" si="0"/>
        <v>6336.0000000000009</v>
      </c>
      <c r="E20" s="111">
        <f t="shared" si="1"/>
        <v>258.98221949724098</v>
      </c>
      <c r="F20" s="110">
        <f t="shared" si="2"/>
        <v>58852.799999999996</v>
      </c>
      <c r="G20" s="111">
        <f t="shared" si="3"/>
        <v>2405.5916615573265</v>
      </c>
      <c r="H20" s="112">
        <f>[1]Rawdata!G22-[1]Rawdata!G21</f>
        <v>90232</v>
      </c>
      <c r="I20" s="113">
        <f t="shared" si="7"/>
        <v>44866.740331495319</v>
      </c>
      <c r="J20" s="112">
        <v>0.05</v>
      </c>
      <c r="K20" s="112">
        <v>0.55500000000000005</v>
      </c>
      <c r="L20" s="112">
        <v>93.91</v>
      </c>
      <c r="M20" s="112">
        <v>6.6</v>
      </c>
      <c r="N20" s="115" t="s">
        <v>254</v>
      </c>
      <c r="O20" s="112">
        <f t="shared" si="5"/>
        <v>101.11499999999999</v>
      </c>
      <c r="P20" s="105">
        <f>((M20/100)/Constants!$D$28/((10^-R20)^2))*(((10^-R20)^2)+(10^-R20)*Constants!$D$25+Constants!$D$25*Constants!$D$26)*1000</f>
        <v>2.9193195037320838</v>
      </c>
      <c r="Q20" s="105">
        <f>P20*(HRT!D20/1000)</f>
        <v>1.6549966715902988</v>
      </c>
      <c r="R20" s="67">
        <f>Rawdata!F22</f>
        <v>5.83</v>
      </c>
      <c r="S20" s="114">
        <f t="shared" si="12"/>
        <v>1.0646224867079488</v>
      </c>
      <c r="T20" s="114">
        <f t="shared" si="13"/>
        <v>6.4320941905271907</v>
      </c>
      <c r="U20" s="114">
        <f t="shared" si="8"/>
        <v>1662.8959649675362</v>
      </c>
      <c r="V20" s="114">
        <f t="shared" si="14"/>
        <v>119.20706291225964</v>
      </c>
      <c r="W20" s="117" t="s">
        <v>254</v>
      </c>
      <c r="X20" s="104">
        <f t="shared" si="6"/>
        <v>7.7322166998815192</v>
      </c>
      <c r="Y20" s="104">
        <f t="shared" si="10"/>
        <v>1774.3708111799144</v>
      </c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</row>
    <row r="21" spans="2:41">
      <c r="B21" s="95">
        <f>[1]Rawdata!X23</f>
        <v>45471.418055555558</v>
      </c>
      <c r="C21" s="58">
        <f t="shared" si="4"/>
        <v>37.01875000000291</v>
      </c>
      <c r="D21" s="110">
        <f t="shared" si="0"/>
        <v>6336.0000000000009</v>
      </c>
      <c r="E21" s="111">
        <f t="shared" si="1"/>
        <v>258.98221949724098</v>
      </c>
      <c r="F21" s="110">
        <f t="shared" si="2"/>
        <v>58852.799999999996</v>
      </c>
      <c r="G21" s="111">
        <f t="shared" si="3"/>
        <v>2405.5916615573265</v>
      </c>
      <c r="H21" s="112">
        <f>[1]Rawdata!G23-[1]Rawdata!G22</f>
        <v>91152</v>
      </c>
      <c r="I21" s="113">
        <f t="shared" si="7"/>
        <v>45199.338842899102</v>
      </c>
      <c r="J21" s="112">
        <v>0.03</v>
      </c>
      <c r="K21" s="112">
        <v>0.15</v>
      </c>
      <c r="L21" s="112">
        <v>94.93</v>
      </c>
      <c r="M21" s="112">
        <v>6.32</v>
      </c>
      <c r="N21" s="115" t="s">
        <v>254</v>
      </c>
      <c r="O21" s="112">
        <f t="shared" si="5"/>
        <v>101.43</v>
      </c>
      <c r="P21" s="105">
        <f>((M21/100)/Constants!$D$28/((10^-R21)^2))*(((10^-R21)^2)+(10^-R21)*Constants!$D$25+Constants!$D$25*Constants!$D$26)*1000</f>
        <v>2.891260411205689</v>
      </c>
      <c r="Q21" s="105">
        <f>P21*(HRT!D21/1000)</f>
        <v>1.6993228924078703</v>
      </c>
      <c r="R21" s="67">
        <f>Rawdata!F23</f>
        <v>5.89</v>
      </c>
      <c r="S21" s="114">
        <f t="shared" si="12"/>
        <v>0.7150097103994163</v>
      </c>
      <c r="T21" s="114">
        <f t="shared" si="13"/>
        <v>6.3010230728948571</v>
      </c>
      <c r="U21" s="114">
        <f t="shared" si="8"/>
        <v>1687.780421397822</v>
      </c>
      <c r="V21" s="114">
        <f t="shared" si="14"/>
        <v>117.1733911219136</v>
      </c>
      <c r="W21" s="117" t="s">
        <v>254</v>
      </c>
      <c r="X21" s="104">
        <f t="shared" si="6"/>
        <v>17.429536521195132</v>
      </c>
      <c r="Y21" s="104">
        <f t="shared" si="10"/>
        <v>1787.5242759985404</v>
      </c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</row>
    <row r="22" spans="2:41">
      <c r="B22" s="95">
        <f>[1]Rawdata!X24</f>
        <v>45474.410416666666</v>
      </c>
      <c r="C22" s="58">
        <f t="shared" si="4"/>
        <v>40.011111111110949</v>
      </c>
      <c r="D22" s="110">
        <f t="shared" si="0"/>
        <v>6336.0000000000009</v>
      </c>
      <c r="E22" s="111">
        <f t="shared" si="1"/>
        <v>258.98221949724098</v>
      </c>
      <c r="F22" s="110">
        <f t="shared" si="2"/>
        <v>58852.799999999996</v>
      </c>
      <c r="G22" s="111">
        <f t="shared" si="3"/>
        <v>2405.5916615573265</v>
      </c>
      <c r="H22" s="112">
        <f>[1]Rawdata!G24-[1]Rawdata!G23</f>
        <v>126604</v>
      </c>
      <c r="I22" s="113">
        <f t="shared" si="7"/>
        <v>42309.064748244877</v>
      </c>
      <c r="J22" s="112">
        <v>0.02</v>
      </c>
      <c r="K22" s="112">
        <v>0.155</v>
      </c>
      <c r="L22" s="112">
        <v>94.02</v>
      </c>
      <c r="M22" s="112">
        <v>6.29</v>
      </c>
      <c r="N22" s="115" t="s">
        <v>254</v>
      </c>
      <c r="O22" s="112">
        <f t="shared" si="5"/>
        <v>100.485</v>
      </c>
      <c r="P22" s="105">
        <f>((M22/100)/Constants!$D$28/((10^-R22)^2))*(((10^-R22)^2)+(10^-R22)*Constants!$D$25+Constants!$D$25*Constants!$D$26)*1000</f>
        <v>2.7971888172488981</v>
      </c>
      <c r="Q22" s="105">
        <f>P22*(HRT!D22/1000)</f>
        <v>1.6221497625581296</v>
      </c>
      <c r="R22" s="67">
        <f>Rawdata!F24</f>
        <v>5.84</v>
      </c>
      <c r="S22" s="114">
        <f t="shared" si="12"/>
        <v>0.41830523558732974</v>
      </c>
      <c r="T22" s="114">
        <f t="shared" si="13"/>
        <v>2.5516619370827107</v>
      </c>
      <c r="U22" s="114">
        <f t="shared" si="8"/>
        <v>1580.7754852845189</v>
      </c>
      <c r="V22" s="114">
        <f t="shared" si="14"/>
        <v>107.11873017768266</v>
      </c>
      <c r="W22" s="117" t="s">
        <v>254</v>
      </c>
      <c r="X22" s="104">
        <f t="shared" si="6"/>
        <v>14.673273112882725</v>
      </c>
      <c r="Y22" s="104">
        <f t="shared" si="10"/>
        <v>1673.2209423493189</v>
      </c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</row>
    <row r="23" spans="2:41" s="119" customFormat="1">
      <c r="B23" s="120">
        <f>[1]Rawdata!X25</f>
        <v>45476.428472222222</v>
      </c>
      <c r="C23" s="97">
        <f t="shared" si="4"/>
        <v>42.029166666667152</v>
      </c>
      <c r="D23" s="110">
        <f t="shared" si="0"/>
        <v>6336.0000000000009</v>
      </c>
      <c r="E23" s="111">
        <f t="shared" si="1"/>
        <v>258.98221949724098</v>
      </c>
      <c r="F23" s="110">
        <f t="shared" si="2"/>
        <v>58852.799999999996</v>
      </c>
      <c r="G23" s="111">
        <f t="shared" si="3"/>
        <v>2405.5916615573265</v>
      </c>
      <c r="H23" s="112">
        <f>[1]Rawdata!G25-[1]Rawdata!G24</f>
        <v>83501</v>
      </c>
      <c r="I23" s="113">
        <f t="shared" si="7"/>
        <v>41376.958017880752</v>
      </c>
      <c r="J23" s="112">
        <v>0.02</v>
      </c>
      <c r="K23" s="112">
        <f>AVERAGE(K24,K22)</f>
        <v>0.16249999999999998</v>
      </c>
      <c r="L23" s="112">
        <f t="shared" ref="L23:M23" si="16">AVERAGE(L24,L22)</f>
        <v>93.734999999999999</v>
      </c>
      <c r="M23" s="112">
        <f t="shared" si="16"/>
        <v>6.3074999999999992</v>
      </c>
      <c r="N23" s="115"/>
      <c r="O23" s="112">
        <f t="shared" si="5"/>
        <v>100.22500000000001</v>
      </c>
      <c r="P23" s="105">
        <f>((M23/100)/Constants!$D$28/((10^-R23)^2))*(((10^-R23)^2)+(10^-R23)*Constants!$D$25+Constants!$D$25*Constants!$D$26)*1000</f>
        <v>2.6938830280316797</v>
      </c>
      <c r="Q23" s="105">
        <f>P23*(HRT!D23/1000)</f>
        <v>1.4487205988200844</v>
      </c>
      <c r="R23" s="67">
        <f>Rawdata!F25</f>
        <v>5.76</v>
      </c>
      <c r="S23" s="114">
        <f t="shared" si="12"/>
        <v>0.32727167616768765</v>
      </c>
      <c r="T23" s="114">
        <f t="shared" si="13"/>
        <v>2.597718929581021</v>
      </c>
      <c r="U23" s="114">
        <f t="shared" si="8"/>
        <v>1536.1723389716049</v>
      </c>
      <c r="V23" s="114">
        <f t="shared" si="14"/>
        <v>104.51884411188122</v>
      </c>
      <c r="W23" s="117" t="s">
        <v>254</v>
      </c>
      <c r="X23" s="104">
        <f t="shared" si="6"/>
        <v>4.3328022450477874</v>
      </c>
      <c r="Y23" s="104">
        <f t="shared" si="10"/>
        <v>1636.3583808384383</v>
      </c>
    </row>
    <row r="24" spans="2:41">
      <c r="B24" s="95">
        <f>[1]Rawdata!X26</f>
        <v>45478.421527777777</v>
      </c>
      <c r="C24" s="58">
        <f t="shared" si="4"/>
        <v>44.022222222221899</v>
      </c>
      <c r="D24" s="110">
        <f t="shared" si="0"/>
        <v>6336.0000000000009</v>
      </c>
      <c r="E24" s="111">
        <f t="shared" si="1"/>
        <v>258.98221949724098</v>
      </c>
      <c r="F24" s="110">
        <f t="shared" si="2"/>
        <v>58852.799999999996</v>
      </c>
      <c r="G24" s="111">
        <f t="shared" si="3"/>
        <v>2405.5916615573265</v>
      </c>
      <c r="H24" s="112">
        <f>[1]Rawdata!G26-[1]Rawdata!G25</f>
        <v>83958</v>
      </c>
      <c r="I24" s="113">
        <f t="shared" si="7"/>
        <v>42125.268292700013</v>
      </c>
      <c r="J24" s="112">
        <v>0.03</v>
      </c>
      <c r="K24" s="112">
        <v>0.16999999999999998</v>
      </c>
      <c r="L24" s="112">
        <v>93.45</v>
      </c>
      <c r="M24" s="112">
        <v>6.3249999999999993</v>
      </c>
      <c r="N24" s="115" t="s">
        <v>254</v>
      </c>
      <c r="O24" s="112">
        <f t="shared" si="5"/>
        <v>99.975000000000009</v>
      </c>
      <c r="P24" s="105">
        <f>((M24/100)/Constants!$D$28/((10^-R24)^2))*(((10^-R24)^2)+(10^-R24)*Constants!$D$25+Constants!$D$25*Constants!$D$26)*1000</f>
        <v>2.8281768320470291</v>
      </c>
      <c r="Q24" s="105">
        <f>P24*(HRT!D24/1000)</f>
        <v>1.5297312714042544</v>
      </c>
      <c r="R24" s="67">
        <f>Rawdata!F26</f>
        <v>5.85</v>
      </c>
      <c r="S24" s="114">
        <f t="shared" si="12"/>
        <v>0.41648805952602241</v>
      </c>
      <c r="T24" s="114">
        <f t="shared" si="13"/>
        <v>2.7696455958480493</v>
      </c>
      <c r="U24" s="114">
        <f t="shared" si="8"/>
        <v>1559.2063484475702</v>
      </c>
      <c r="V24" s="114">
        <f t="shared" si="14"/>
        <v>106.75543951065382</v>
      </c>
      <c r="W24" s="117" t="s">
        <v>254</v>
      </c>
      <c r="X24" s="104">
        <f t="shared" si="6"/>
        <v>9.5498541343204124E-3</v>
      </c>
      <c r="Y24" s="104">
        <f t="shared" si="10"/>
        <v>1665.9522381040897</v>
      </c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</row>
    <row r="25" spans="2:41">
      <c r="B25" s="95">
        <f>[1]Rawdata!X27</f>
        <v>45481.396527777775</v>
      </c>
      <c r="C25" s="58">
        <f t="shared" si="4"/>
        <v>46.997222222220444</v>
      </c>
      <c r="D25" s="110">
        <f t="shared" si="0"/>
        <v>6336.0000000000009</v>
      </c>
      <c r="E25" s="111">
        <f t="shared" si="1"/>
        <v>258.98221949724098</v>
      </c>
      <c r="F25" s="110">
        <f t="shared" si="2"/>
        <v>58852.799999999996</v>
      </c>
      <c r="G25" s="111">
        <f t="shared" si="3"/>
        <v>2405.5916615573265</v>
      </c>
      <c r="H25" s="112">
        <f>[1]Rawdata!G27-[1]Rawdata!G26</f>
        <v>129577</v>
      </c>
      <c r="I25" s="113">
        <f t="shared" si="7"/>
        <v>43555.29411766836</v>
      </c>
      <c r="J25" s="112">
        <v>0.02</v>
      </c>
      <c r="K25" s="112">
        <v>0.16499999999999998</v>
      </c>
      <c r="L25" s="112">
        <v>92.6</v>
      </c>
      <c r="M25" s="112">
        <v>6.35</v>
      </c>
      <c r="N25" s="115" t="s">
        <v>254</v>
      </c>
      <c r="O25" s="112">
        <f t="shared" si="5"/>
        <v>99.134999999999991</v>
      </c>
      <c r="P25" s="105">
        <f>((M25/100)/Constants!$D$28/((10^-R25)^2))*(((10^-R25)^2)+(10^-R25)*Constants!$D$25+Constants!$D$25*Constants!$D$26)*1000</f>
        <v>2.8087392194998078</v>
      </c>
      <c r="Q25" s="105">
        <f>P25*(HRT!D25/1000)</f>
        <v>1.6276379465973212</v>
      </c>
      <c r="R25" s="67">
        <f>Rawdata!F27</f>
        <v>5.83</v>
      </c>
      <c r="S25" s="114">
        <f t="shared" si="12"/>
        <v>0.43062657317950997</v>
      </c>
      <c r="T25" s="114">
        <f t="shared" si="13"/>
        <v>2.8851980403027166</v>
      </c>
      <c r="U25" s="114">
        <f t="shared" si="8"/>
        <v>1602.3614788009568</v>
      </c>
      <c r="V25" s="114">
        <f t="shared" si="14"/>
        <v>110.79147424760311</v>
      </c>
      <c r="W25" s="117" t="s">
        <v>254</v>
      </c>
      <c r="X25" s="104">
        <f t="shared" si="6"/>
        <v>-9.3533396694799649</v>
      </c>
      <c r="Y25" s="104">
        <f t="shared" si="10"/>
        <v>1722.50629271804</v>
      </c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</row>
    <row r="26" spans="2:41">
      <c r="B26" s="95">
        <f>[1]Rawdata!X28</f>
        <v>45483.393750000003</v>
      </c>
      <c r="C26" s="58">
        <f t="shared" si="4"/>
        <v>48.994444444448163</v>
      </c>
      <c r="D26" s="110">
        <f t="shared" si="0"/>
        <v>6336.0000000000009</v>
      </c>
      <c r="E26" s="111">
        <f t="shared" si="1"/>
        <v>258.98221949724098</v>
      </c>
      <c r="F26" s="110">
        <f t="shared" si="2"/>
        <v>58852.799999999996</v>
      </c>
      <c r="G26" s="111">
        <f t="shared" si="3"/>
        <v>2405.5916615573265</v>
      </c>
      <c r="H26" s="112">
        <f>[1]Rawdata!G28-[1]Rawdata!G27</f>
        <v>84939</v>
      </c>
      <c r="I26" s="113">
        <f t="shared" si="7"/>
        <v>42528.567454681273</v>
      </c>
      <c r="J26" s="112">
        <v>0.02</v>
      </c>
      <c r="K26" s="112">
        <v>0.21000000000000002</v>
      </c>
      <c r="L26" s="112">
        <v>93.634999999999991</v>
      </c>
      <c r="M26" s="112">
        <v>6.0950000000000006</v>
      </c>
      <c r="N26" s="115" t="s">
        <v>254</v>
      </c>
      <c r="O26" s="112">
        <f t="shared" si="5"/>
        <v>99.96</v>
      </c>
      <c r="P26" s="105">
        <f>((M26/100)/Constants!$D$28/((10^-R26)^2))*(((10^-R26)^2)+(10^-R26)*Constants!$D$25+Constants!$D$25*Constants!$D$26)*1000</f>
        <v>2.8395308014650489</v>
      </c>
      <c r="Q26" s="105">
        <f>P26*(HRT!D26/1000)</f>
        <v>1.652769101511024</v>
      </c>
      <c r="R26" s="67">
        <f>Rawdata!F28</f>
        <v>5.92</v>
      </c>
      <c r="S26" s="114">
        <f t="shared" si="12"/>
        <v>0.33638034845116882</v>
      </c>
      <c r="T26" s="114">
        <f t="shared" si="13"/>
        <v>3.1535657667297077</v>
      </c>
      <c r="U26" s="114">
        <f t="shared" si="8"/>
        <v>1566.1448548450855</v>
      </c>
      <c r="V26" s="114">
        <f t="shared" si="14"/>
        <v>106.30910501338091</v>
      </c>
      <c r="W26" s="117" t="s">
        <v>254</v>
      </c>
      <c r="X26" s="104">
        <f t="shared" si="6"/>
        <v>-9.4477823973777504</v>
      </c>
      <c r="Y26" s="104">
        <f t="shared" si="10"/>
        <v>1681.9017422558443</v>
      </c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</row>
    <row r="27" spans="2:41">
      <c r="B27" s="95">
        <f>[1]Rawdata!X29</f>
        <v>45485.370833333334</v>
      </c>
      <c r="C27" s="58">
        <f t="shared" si="4"/>
        <v>50.971527777779556</v>
      </c>
      <c r="D27" s="110">
        <f t="shared" si="0"/>
        <v>6336.0000000000009</v>
      </c>
      <c r="E27" s="111">
        <f t="shared" si="1"/>
        <v>258.98221949724098</v>
      </c>
      <c r="F27" s="110">
        <f t="shared" si="2"/>
        <v>58852.799999999996</v>
      </c>
      <c r="G27" s="111">
        <f t="shared" si="3"/>
        <v>2405.5916615573265</v>
      </c>
      <c r="H27" s="112">
        <f>[1]Rawdata!G29-[1]Rawdata!G28</f>
        <v>81749</v>
      </c>
      <c r="I27" s="113">
        <f t="shared" si="7"/>
        <v>41348.282402569559</v>
      </c>
      <c r="J27" s="112">
        <v>0.03</v>
      </c>
      <c r="K27" s="112">
        <v>0.13500000000000001</v>
      </c>
      <c r="L27" s="112">
        <v>93.49</v>
      </c>
      <c r="M27" s="112">
        <v>6.09</v>
      </c>
      <c r="N27" s="115" t="s">
        <v>254</v>
      </c>
      <c r="O27" s="112">
        <f t="shared" si="5"/>
        <v>99.745000000000005</v>
      </c>
      <c r="P27" s="105">
        <f>((M27/100)/Constants!$D$28/((10^-R27)^2))*(((10^-R27)^2)+(10^-R27)*Constants!$D$25+Constants!$D$25*Constants!$D$26)*1000</f>
        <v>2.819753592436721</v>
      </c>
      <c r="Q27" s="105">
        <f>P27*(HRT!D27/1000)</f>
        <v>1.5584624602142212</v>
      </c>
      <c r="R27" s="67">
        <f>Rawdata!F29</f>
        <v>5.91</v>
      </c>
      <c r="S27" s="114">
        <f t="shared" si="12"/>
        <v>0.40880608244255279</v>
      </c>
      <c r="T27" s="114">
        <f t="shared" si="13"/>
        <v>2.8207619688536143</v>
      </c>
      <c r="U27" s="114">
        <f t="shared" si="8"/>
        <v>1529.9567635412538</v>
      </c>
      <c r="V27" s="114">
        <f t="shared" si="14"/>
        <v>101.18450475146432</v>
      </c>
      <c r="W27" s="117" t="s">
        <v>254</v>
      </c>
      <c r="X27" s="104">
        <f t="shared" si="6"/>
        <v>-4.0830614774931746</v>
      </c>
      <c r="Y27" s="104">
        <f t="shared" si="10"/>
        <v>1635.2243297702114</v>
      </c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</row>
    <row r="28" spans="2:41">
      <c r="B28" s="95">
        <f>[1]Rawdata!X30</f>
        <v>45488.378472222219</v>
      </c>
      <c r="C28" s="58">
        <f t="shared" si="4"/>
        <v>53.979166666664241</v>
      </c>
      <c r="D28" s="110">
        <f t="shared" si="0"/>
        <v>6336.0000000000009</v>
      </c>
      <c r="E28" s="111">
        <f t="shared" si="1"/>
        <v>258.98221949724098</v>
      </c>
      <c r="F28" s="110">
        <f t="shared" si="2"/>
        <v>58852.799999999996</v>
      </c>
      <c r="G28" s="111">
        <f t="shared" si="3"/>
        <v>2405.5916615573265</v>
      </c>
      <c r="H28" s="112">
        <f>[1]Rawdata!G30-[1]Rawdata!G29</f>
        <v>122282</v>
      </c>
      <c r="I28" s="113">
        <f t="shared" si="7"/>
        <v>40657.141537807925</v>
      </c>
      <c r="J28" s="112">
        <v>0.02</v>
      </c>
      <c r="K28" s="112">
        <v>0.36499999999999999</v>
      </c>
      <c r="L28" s="112">
        <v>93.375</v>
      </c>
      <c r="M28" s="112">
        <v>6.27</v>
      </c>
      <c r="N28" s="115" t="s">
        <v>254</v>
      </c>
      <c r="O28" s="112">
        <f t="shared" si="5"/>
        <v>100.03</v>
      </c>
      <c r="P28" s="105">
        <f>((M28/100)/Constants!$D$28/((10^-R28)^2))*(((10^-R28)^2)+(10^-R28)*Constants!$D$25+Constants!$D$25*Constants!$D$26)*1000</f>
        <v>2.8192294013180001</v>
      </c>
      <c r="Q28" s="105">
        <f>P28*(HRT!D28/1000)</f>
        <v>1.5242558152295771</v>
      </c>
      <c r="R28" s="67">
        <f>Rawdata!F30</f>
        <v>5.86</v>
      </c>
      <c r="S28" s="114">
        <f t="shared" si="12"/>
        <v>0.4019728460196148</v>
      </c>
      <c r="T28" s="114">
        <f t="shared" si="13"/>
        <v>4.0197284601961485</v>
      </c>
      <c r="U28" s="114">
        <f t="shared" si="8"/>
        <v>1502.2931174291066</v>
      </c>
      <c r="V28" s="114">
        <f t="shared" si="14"/>
        <v>100.89194335127836</v>
      </c>
      <c r="W28" s="117" t="s">
        <v>254</v>
      </c>
      <c r="X28" s="104">
        <f t="shared" si="6"/>
        <v>-4.7063232980744942</v>
      </c>
      <c r="Y28" s="104">
        <f t="shared" si="10"/>
        <v>1607.8913840784594</v>
      </c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</row>
    <row r="29" spans="2:41" s="98" customFormat="1">
      <c r="B29" s="96">
        <f>[1]Rawdata!X31</f>
        <v>45488.625</v>
      </c>
      <c r="C29" s="97">
        <f t="shared" si="4"/>
        <v>54.225694444445253</v>
      </c>
      <c r="D29" s="110">
        <f t="shared" si="0"/>
        <v>6336.0000000000009</v>
      </c>
      <c r="E29" s="111">
        <f t="shared" si="1"/>
        <v>258.98221949724098</v>
      </c>
      <c r="F29" s="110">
        <f t="shared" si="2"/>
        <v>58852.799999999996</v>
      </c>
      <c r="G29" s="111">
        <f t="shared" si="3"/>
        <v>2405.5916615573265</v>
      </c>
      <c r="H29" s="112">
        <f>[1]Rawdata!G31-[1]Rawdata!G30</f>
        <v>10082</v>
      </c>
      <c r="I29" s="113">
        <f t="shared" si="7"/>
        <v>40895.999999463558</v>
      </c>
      <c r="J29" s="112">
        <f>AVERAGE(J30,J28)</f>
        <v>5.5E-2</v>
      </c>
      <c r="K29" s="112">
        <f t="shared" ref="K29:M29" si="17">AVERAGE(K30,K28)</f>
        <v>0.29499999999999998</v>
      </c>
      <c r="L29" s="112">
        <f t="shared" si="17"/>
        <v>93.289999999999992</v>
      </c>
      <c r="M29" s="112">
        <f t="shared" si="17"/>
        <v>6.6724999999999994</v>
      </c>
      <c r="N29" s="115" t="s">
        <v>254</v>
      </c>
      <c r="O29" s="112">
        <f t="shared" si="5"/>
        <v>100.31249999999999</v>
      </c>
      <c r="P29" s="105">
        <f>((M29/100)/Constants!$D$28/((10^-R29)^2))*(((10^-R29)^2)+(10^-R29)*Constants!$D$25+Constants!$D$25*Constants!$D$26)*1000</f>
        <v>3.0525213755965122</v>
      </c>
      <c r="Q29" s="105">
        <f>P29*(HRT!D29/1000)</f>
        <v>1.6163198380476249</v>
      </c>
      <c r="R29" s="67">
        <f>Rawdata!F31</f>
        <v>5.89</v>
      </c>
      <c r="S29" s="114">
        <f t="shared" si="12"/>
        <v>0.60650162144264941</v>
      </c>
      <c r="T29" s="114">
        <f t="shared" si="13"/>
        <v>5.3372142686953135</v>
      </c>
      <c r="U29" s="114">
        <f t="shared" si="8"/>
        <v>1509.5016688878954</v>
      </c>
      <c r="V29" s="114">
        <f t="shared" si="14"/>
        <v>106.27828297833416</v>
      </c>
      <c r="W29" s="117" t="s">
        <v>254</v>
      </c>
      <c r="X29" s="104">
        <f t="shared" si="6"/>
        <v>-1.5577053141689703</v>
      </c>
      <c r="Y29" s="104">
        <f t="shared" si="10"/>
        <v>1617.3376571803985</v>
      </c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</row>
    <row r="30" spans="2:41">
      <c r="B30" s="95">
        <f>[1]Rawdata!X32</f>
        <v>45490.418749999997</v>
      </c>
      <c r="C30" s="58">
        <f t="shared" si="4"/>
        <v>56.019444444442343</v>
      </c>
      <c r="D30" s="110">
        <f t="shared" si="0"/>
        <v>6336.0000000000009</v>
      </c>
      <c r="E30" s="111">
        <f t="shared" si="1"/>
        <v>258.98221949724098</v>
      </c>
      <c r="F30" s="110">
        <f t="shared" si="2"/>
        <v>58852.799999999996</v>
      </c>
      <c r="G30" s="111">
        <f t="shared" si="3"/>
        <v>2405.5916615573265</v>
      </c>
      <c r="H30" s="112">
        <f>[1]Rawdata!G32-[1]Rawdata!G31</f>
        <v>79296</v>
      </c>
      <c r="I30" s="113">
        <f t="shared" si="7"/>
        <v>44206.82926836441</v>
      </c>
      <c r="J30" s="112">
        <v>0.09</v>
      </c>
      <c r="K30" s="112">
        <v>0.22499999999999998</v>
      </c>
      <c r="L30" s="112">
        <v>93.204999999999998</v>
      </c>
      <c r="M30" s="112">
        <v>7.0749999999999993</v>
      </c>
      <c r="N30" s="113">
        <v>1.2000000000000001E-3</v>
      </c>
      <c r="O30" s="112">
        <f t="shared" si="5"/>
        <v>100.5962</v>
      </c>
      <c r="P30" s="105">
        <f>((M30/100)/Constants!$D$28/((10^-R30)^2))*(((10^-R30)^2)+(10^-R30)*Constants!$D$25+Constants!$D$25*Constants!$D$26)*1000</f>
        <v>3.1811878810725447</v>
      </c>
      <c r="Q30" s="105">
        <f>P30*(HRT!D30/1000)</f>
        <v>1.5769148529198331</v>
      </c>
      <c r="R30" s="67">
        <f>Rawdata!F32</f>
        <v>5.86</v>
      </c>
      <c r="S30" s="114">
        <f>(AVERAGE(J29:J30)/100*I30)/$AA$2</f>
        <v>1.2674978731141417</v>
      </c>
      <c r="T30" s="114">
        <f t="shared" si="13"/>
        <v>4.545509613926578</v>
      </c>
      <c r="U30" s="114">
        <f t="shared" si="8"/>
        <v>1630.220798940841</v>
      </c>
      <c r="V30" s="114">
        <f t="shared" si="14"/>
        <v>121.74882527110374</v>
      </c>
      <c r="W30" s="148">
        <f t="shared" ref="W30:W64" si="18">(AVERAGE(N29:N30)/100*I30)/$AA$2</f>
        <v>2.0979275141199592E-2</v>
      </c>
      <c r="X30" s="104">
        <f t="shared" si="6"/>
        <v>3.6966957786453349</v>
      </c>
      <c r="Y30" s="104">
        <f t="shared" si="10"/>
        <v>1748.2729284332993</v>
      </c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</row>
    <row r="31" spans="2:41">
      <c r="B31" s="95">
        <f>[1]Rawdata!X33</f>
        <v>45492.395138888889</v>
      </c>
      <c r="C31" s="58">
        <f t="shared" si="4"/>
        <v>57.995833333334303</v>
      </c>
      <c r="D31" s="110">
        <f t="shared" si="0"/>
        <v>6336.0000000000009</v>
      </c>
      <c r="E31" s="111">
        <f t="shared" si="1"/>
        <v>258.98221949724098</v>
      </c>
      <c r="F31" s="110">
        <f t="shared" si="2"/>
        <v>58852.799999999996</v>
      </c>
      <c r="G31" s="111">
        <f t="shared" si="3"/>
        <v>2405.5916615573265</v>
      </c>
      <c r="H31" s="112">
        <f>[1]Rawdata!G33-[1]Rawdata!G32</f>
        <v>88558</v>
      </c>
      <c r="I31" s="113">
        <f t="shared" si="7"/>
        <v>44807.983134153823</v>
      </c>
      <c r="J31" s="112">
        <v>0.49</v>
      </c>
      <c r="K31" s="112">
        <v>0.2</v>
      </c>
      <c r="L31" s="112">
        <v>91.765000000000001</v>
      </c>
      <c r="M31" s="112">
        <v>8.6550000000000011</v>
      </c>
      <c r="N31" s="113">
        <v>8.5000000000000006E-4</v>
      </c>
      <c r="O31" s="112">
        <f t="shared" si="5"/>
        <v>101.11085</v>
      </c>
      <c r="P31" s="105">
        <f>((M31/100)/Constants!$D$28/((10^-R31)^2))*(((10^-R31)^2)+(10^-R31)*Constants!$D$25+Constants!$D$25*Constants!$D$26)*1000</f>
        <v>3.9363299931673961</v>
      </c>
      <c r="Q31" s="105">
        <f>P31*(HRT!D31/1000)</f>
        <v>1.950249810564934</v>
      </c>
      <c r="R31" s="67">
        <f>Rawdata!F33</f>
        <v>5.88</v>
      </c>
      <c r="S31" s="114">
        <f t="shared" si="12"/>
        <v>5.1389366087576551</v>
      </c>
      <c r="T31" s="114">
        <f t="shared" si="13"/>
        <v>3.7656001012448344</v>
      </c>
      <c r="U31" s="114">
        <f t="shared" si="8"/>
        <v>1638.877766417075</v>
      </c>
      <c r="V31" s="114">
        <f t="shared" si="14"/>
        <v>141.32175473428549</v>
      </c>
      <c r="W31" s="148">
        <f t="shared" si="18"/>
        <v>1.8163482841298612E-2</v>
      </c>
      <c r="X31" s="104">
        <f t="shared" si="6"/>
        <v>8.1524146832032329</v>
      </c>
      <c r="Y31" s="104">
        <f t="shared" si="10"/>
        <v>1772.0471064681572</v>
      </c>
    </row>
    <row r="32" spans="2:41" s="98" customFormat="1">
      <c r="B32" s="96">
        <f>[1]Rawdata!X34</f>
        <v>45495.400694444441</v>
      </c>
      <c r="C32" s="97">
        <f t="shared" si="4"/>
        <v>61.00138888888614</v>
      </c>
      <c r="D32" s="110">
        <f t="shared" si="0"/>
        <v>6336.0000000000009</v>
      </c>
      <c r="E32" s="111">
        <f t="shared" si="1"/>
        <v>258.98221949724098</v>
      </c>
      <c r="F32" s="110">
        <f t="shared" si="2"/>
        <v>58852.799999999996</v>
      </c>
      <c r="G32" s="111">
        <f t="shared" si="3"/>
        <v>2405.5916615573265</v>
      </c>
      <c r="H32" s="112">
        <f>[1]Rawdata!G34-[1]Rawdata!G33</f>
        <v>134142</v>
      </c>
      <c r="I32" s="113">
        <f t="shared" si="7"/>
        <v>44631.349353105128</v>
      </c>
      <c r="J32" s="112">
        <v>0.15</v>
      </c>
      <c r="K32" s="112">
        <f>AVERAGE(K34,K31)</f>
        <v>0.185</v>
      </c>
      <c r="L32" s="112">
        <f t="shared" ref="L32:M32" si="19">AVERAGE(L34,L31)</f>
        <v>91.877499999999998</v>
      </c>
      <c r="M32" s="112">
        <f t="shared" si="19"/>
        <v>7.9575000000000005</v>
      </c>
      <c r="N32" s="113">
        <v>2.5000000000000001E-3</v>
      </c>
      <c r="O32" s="112">
        <f t="shared" si="5"/>
        <v>100.17249999999999</v>
      </c>
      <c r="P32" s="105">
        <f>((M32/100)/Constants!$D$28/((10^-R32)^2))*(((10^-R32)^2)+(10^-R32)*Constants!$D$25+Constants!$D$25*Constants!$D$26)*1000</f>
        <v>3.5581370973935558</v>
      </c>
      <c r="Q32" s="105">
        <f>P32*(HRT!D32/1000)</f>
        <v>2.17828884833501</v>
      </c>
      <c r="R32" s="67">
        <f>Rawdata!F34</f>
        <v>5.85</v>
      </c>
      <c r="S32" s="114">
        <f t="shared" si="12"/>
        <v>5.6481973396320653</v>
      </c>
      <c r="T32" s="114">
        <f t="shared" si="13"/>
        <v>3.3977437121224145</v>
      </c>
      <c r="U32" s="114">
        <f t="shared" si="8"/>
        <v>1620.7016874115336</v>
      </c>
      <c r="V32" s="114">
        <f>(AVERAGE(M31:M32)/100*I32)/$AA$2+Q32</f>
        <v>148.78872369933137</v>
      </c>
      <c r="W32" s="148">
        <f t="shared" si="18"/>
        <v>2.9564782949636593E-2</v>
      </c>
      <c r="X32" s="104">
        <f t="shared" si="6"/>
        <v>4.4287424758445013</v>
      </c>
      <c r="Y32" s="104">
        <f t="shared" si="10"/>
        <v>1765.0616686350204</v>
      </c>
    </row>
    <row r="33" spans="2:27" s="98" customFormat="1">
      <c r="B33" s="96">
        <f>[1]Rawdata!X35</f>
        <v>45497.395833333336</v>
      </c>
      <c r="C33" s="97">
        <f t="shared" si="4"/>
        <v>62.996527777781012</v>
      </c>
      <c r="D33" s="110">
        <f t="shared" si="0"/>
        <v>6336.0000000000009</v>
      </c>
      <c r="E33" s="111">
        <f t="shared" si="1"/>
        <v>258.98221949724098</v>
      </c>
      <c r="F33" s="110">
        <f t="shared" si="2"/>
        <v>58852.799999999996</v>
      </c>
      <c r="G33" s="111">
        <f t="shared" si="3"/>
        <v>2405.5916615573265</v>
      </c>
      <c r="H33" s="112">
        <f>[1]Rawdata!G35-[1]Rawdata!G34</f>
        <v>89912</v>
      </c>
      <c r="I33" s="113">
        <f t="shared" si="7"/>
        <v>45065.534284584675</v>
      </c>
      <c r="J33" s="112">
        <v>0.11499999999999999</v>
      </c>
      <c r="K33" s="112">
        <f>AVERAGE(K34,K31)</f>
        <v>0.185</v>
      </c>
      <c r="L33" s="112">
        <f t="shared" ref="L33:M33" si="20">AVERAGE(L34,L31)</f>
        <v>91.877499999999998</v>
      </c>
      <c r="M33" s="112">
        <f t="shared" si="20"/>
        <v>7.9575000000000005</v>
      </c>
      <c r="N33" s="113">
        <v>3.5E-4</v>
      </c>
      <c r="O33" s="112">
        <f t="shared" si="5"/>
        <v>100.13534999999999</v>
      </c>
      <c r="P33" s="105">
        <f>((M33/100)/Constants!$D$28/((10^-R33)^2))*(((10^-R33)^2)+(10^-R33)*Constants!$D$25+Constants!$D$25*Constants!$D$26)*1000</f>
        <v>3.5581370973935558</v>
      </c>
      <c r="Q33" s="105">
        <f>P33*(HRT!D33/1000)</f>
        <v>2.0425531513416622</v>
      </c>
      <c r="R33" s="67">
        <f>Rawdata!F35</f>
        <v>5.85</v>
      </c>
      <c r="S33" s="114">
        <f t="shared" si="12"/>
        <v>2.361458234876006</v>
      </c>
      <c r="T33" s="114">
        <f>(AVERAGE(K32:K33)/100*I33)/$AA$2</f>
        <v>3.2971303656759332</v>
      </c>
      <c r="U33" s="114">
        <f t="shared" si="8"/>
        <v>1637.4707847156246</v>
      </c>
      <c r="V33" s="114">
        <f t="shared" si="14"/>
        <v>143.86371469115917</v>
      </c>
      <c r="W33" s="148">
        <f t="shared" si="18"/>
        <v>2.539681497885516E-2</v>
      </c>
      <c r="X33" s="104">
        <f t="shared" si="6"/>
        <v>-0.89813068831517739</v>
      </c>
      <c r="Y33" s="104">
        <f t="shared" si="10"/>
        <v>1782.232630095099</v>
      </c>
    </row>
    <row r="34" spans="2:27">
      <c r="B34" s="95">
        <f>[1]Rawdata!X36</f>
        <v>45499.470833333333</v>
      </c>
      <c r="C34" s="58">
        <f t="shared" si="4"/>
        <v>65.071527777778101</v>
      </c>
      <c r="D34" s="110">
        <f t="shared" si="0"/>
        <v>6336.0000000000009</v>
      </c>
      <c r="E34" s="111">
        <f t="shared" si="1"/>
        <v>258.98221949724098</v>
      </c>
      <c r="F34" s="110">
        <f t="shared" si="2"/>
        <v>58852.799999999996</v>
      </c>
      <c r="G34" s="111">
        <f t="shared" si="3"/>
        <v>2405.5916615573265</v>
      </c>
      <c r="H34" s="112">
        <f>[1]Rawdata!G36-[1]Rawdata!G35</f>
        <v>94562</v>
      </c>
      <c r="I34" s="113">
        <f t="shared" si="7"/>
        <v>45572.048192835005</v>
      </c>
      <c r="J34" s="112">
        <v>0.19</v>
      </c>
      <c r="K34" s="112">
        <v>0.17</v>
      </c>
      <c r="L34" s="112">
        <v>91.990000000000009</v>
      </c>
      <c r="M34" s="112">
        <v>7.26</v>
      </c>
      <c r="N34" s="113">
        <v>1.9999999999999998E-4</v>
      </c>
      <c r="O34" s="112">
        <f t="shared" si="5"/>
        <v>99.61020000000002</v>
      </c>
      <c r="P34" s="105">
        <f>((M34/100)/Constants!$D$28/((10^-R34)^2))*(((10^-R34)^2)+(10^-R34)*Constants!$D$25+Constants!$D$25*Constants!$D$26)*1000</f>
        <v>3.264370885736632</v>
      </c>
      <c r="Q34" s="105">
        <f>P34*(HRT!D34/1000)</f>
        <v>1.8099348039985748</v>
      </c>
      <c r="R34" s="67">
        <f>Rawdata!F36</f>
        <v>5.86</v>
      </c>
      <c r="S34" s="114">
        <f t="shared" si="12"/>
        <v>2.748452641543675</v>
      </c>
      <c r="T34" s="114">
        <f t="shared" si="13"/>
        <v>3.1990186483541141</v>
      </c>
      <c r="U34" s="114">
        <f t="shared" si="8"/>
        <v>1656.8889051443666</v>
      </c>
      <c r="V34" s="114">
        <f t="shared" si="14"/>
        <v>138.93969897675558</v>
      </c>
      <c r="W34" s="148">
        <f t="shared" si="18"/>
        <v>4.9562260749148246E-3</v>
      </c>
      <c r="X34" s="104">
        <f t="shared" si="6"/>
        <v>-6.4354231206325494</v>
      </c>
      <c r="Y34" s="104">
        <f t="shared" si="10"/>
        <v>1802.2640272417548</v>
      </c>
    </row>
    <row r="35" spans="2:27">
      <c r="B35" s="95">
        <f>[1]Rawdata!X37</f>
        <v>45502.384027777778</v>
      </c>
      <c r="C35" s="58">
        <f t="shared" si="4"/>
        <v>67.984722222223354</v>
      </c>
      <c r="D35" s="110">
        <f t="shared" si="0"/>
        <v>6336.0000000000009</v>
      </c>
      <c r="E35" s="111">
        <f t="shared" si="1"/>
        <v>258.98221949724098</v>
      </c>
      <c r="F35" s="110">
        <f t="shared" si="2"/>
        <v>58852.799999999996</v>
      </c>
      <c r="G35" s="111">
        <f t="shared" si="3"/>
        <v>2405.5916615573265</v>
      </c>
      <c r="H35" s="112">
        <f>[1]Rawdata!G37-[1]Rawdata!G36</f>
        <v>136026</v>
      </c>
      <c r="I35" s="113">
        <f t="shared" si="7"/>
        <v>46693.072705588951</v>
      </c>
      <c r="J35" s="112">
        <v>0.17</v>
      </c>
      <c r="K35" s="112">
        <v>0.11</v>
      </c>
      <c r="L35" s="112">
        <v>92.664999999999992</v>
      </c>
      <c r="M35" s="112">
        <v>7.34</v>
      </c>
      <c r="N35" s="113">
        <v>3.65E-3</v>
      </c>
      <c r="O35" s="112">
        <f t="shared" si="5"/>
        <v>100.28864999999999</v>
      </c>
      <c r="P35" s="105">
        <f>((M35/100)/Constants!$D$28/((10^-R35)^2))*(((10^-R35)^2)+(10^-R35)*Constants!$D$25+Constants!$D$25*Constants!$D$26)*1000</f>
        <v>3.3190839255479081</v>
      </c>
      <c r="Q35" s="105">
        <f>P35*(HRT!D35/1000)</f>
        <v>1.6897787689418104</v>
      </c>
      <c r="R35" s="67">
        <f>Rawdata!F37</f>
        <v>5.87</v>
      </c>
      <c r="S35" s="114">
        <f t="shared" si="12"/>
        <v>3.3238760923064188</v>
      </c>
      <c r="T35" s="114">
        <f t="shared" si="13"/>
        <v>2.5852369606827708</v>
      </c>
      <c r="U35" s="114">
        <f t="shared" si="8"/>
        <v>1704.9176106245604</v>
      </c>
      <c r="V35" s="114">
        <f t="shared" si="14"/>
        <v>136.49142029025768</v>
      </c>
      <c r="W35" s="148">
        <f t="shared" si="18"/>
        <v>3.5547008209388088E-2</v>
      </c>
      <c r="X35" s="104">
        <f t="shared" si="6"/>
        <v>-5.1887981443035187</v>
      </c>
      <c r="Y35" s="104">
        <f t="shared" si="10"/>
        <v>1846.5978290591218</v>
      </c>
    </row>
    <row r="36" spans="2:27">
      <c r="B36" s="95">
        <f>[1]Rawdata!X38</f>
        <v>45504.566666666666</v>
      </c>
      <c r="C36" s="58">
        <f t="shared" si="4"/>
        <v>70.167361111110949</v>
      </c>
      <c r="D36" s="110">
        <f t="shared" si="0"/>
        <v>6336.0000000000009</v>
      </c>
      <c r="E36" s="111">
        <f t="shared" si="1"/>
        <v>258.98221949724098</v>
      </c>
      <c r="F36" s="110">
        <f t="shared" si="2"/>
        <v>58852.799999999996</v>
      </c>
      <c r="G36" s="111">
        <f t="shared" si="3"/>
        <v>2405.5916615573265</v>
      </c>
      <c r="H36" s="112">
        <f>[1]Rawdata!G38-[1]Rawdata!G37</f>
        <v>101596</v>
      </c>
      <c r="I36" s="113">
        <f t="shared" si="7"/>
        <v>46547.324212563377</v>
      </c>
      <c r="J36" s="112">
        <v>0.08</v>
      </c>
      <c r="K36" s="112">
        <v>0.16999999999999998</v>
      </c>
      <c r="L36" s="112">
        <v>92.545000000000002</v>
      </c>
      <c r="M36" s="112">
        <v>7.5449999999999999</v>
      </c>
      <c r="N36" s="113">
        <v>3.5E-4</v>
      </c>
      <c r="O36" s="112">
        <f t="shared" si="5"/>
        <v>100.34035</v>
      </c>
      <c r="P36" s="105">
        <f>((M36/100)/Constants!$D$28/((10^-R36)^2))*(((10^-R36)^2)+(10^-R36)*Constants!$D$25+Constants!$D$25*Constants!$D$26)*1000</f>
        <v>3.3736907822600535</v>
      </c>
      <c r="Q36" s="105">
        <f>P36*(HRT!D36/1000)</f>
        <v>2.0955338939421946</v>
      </c>
      <c r="R36" s="67">
        <f>Rawdata!F38</f>
        <v>5.85</v>
      </c>
      <c r="S36" s="114">
        <f t="shared" si="12"/>
        <v>2.3010422868664167</v>
      </c>
      <c r="T36" s="114">
        <f t="shared" si="13"/>
        <v>2.5771673612903867</v>
      </c>
      <c r="U36" s="114">
        <f t="shared" si="8"/>
        <v>1704.7041678021162</v>
      </c>
      <c r="V36" s="114">
        <f t="shared" si="14"/>
        <v>139.09959165396864</v>
      </c>
      <c r="W36" s="148">
        <f t="shared" si="18"/>
        <v>3.6816676589862672E-2</v>
      </c>
      <c r="X36" s="104">
        <f t="shared" si="6"/>
        <v>2.9699299629512552</v>
      </c>
      <c r="Y36" s="104">
        <f t="shared" si="10"/>
        <v>1840.8338294931336</v>
      </c>
    </row>
    <row r="37" spans="2:27">
      <c r="B37" s="95">
        <f>[1]Rawdata!X39</f>
        <v>45506.556250000001</v>
      </c>
      <c r="C37" s="58">
        <f t="shared" si="4"/>
        <v>72.156944444446708</v>
      </c>
      <c r="D37" s="110">
        <f t="shared" si="0"/>
        <v>6336.0000000000009</v>
      </c>
      <c r="E37" s="111">
        <f t="shared" si="1"/>
        <v>258.98221949724098</v>
      </c>
      <c r="F37" s="110">
        <f t="shared" si="2"/>
        <v>58852.799999999996</v>
      </c>
      <c r="G37" s="111">
        <f t="shared" si="3"/>
        <v>2405.5916615573265</v>
      </c>
      <c r="H37" s="112">
        <f>[1]Rawdata!G39-[1]Rawdata!G38</f>
        <v>92377</v>
      </c>
      <c r="I37" s="113">
        <f t="shared" si="7"/>
        <v>46430.324607273244</v>
      </c>
      <c r="J37" s="112">
        <v>0.15</v>
      </c>
      <c r="K37" s="112">
        <v>0.15000000000000002</v>
      </c>
      <c r="L37" s="112">
        <v>93.004999999999995</v>
      </c>
      <c r="M37" s="112">
        <v>7.3849999999999998</v>
      </c>
      <c r="N37" s="113">
        <v>2.5000000000000001E-4</v>
      </c>
      <c r="O37" s="112">
        <f t="shared" si="5"/>
        <v>100.69024999999999</v>
      </c>
      <c r="P37" s="105">
        <f>((M37/100)/Constants!$D$28/((10^-R37)^2))*(((10^-R37)^2)+(10^-R37)*Constants!$D$25+Constants!$D$25*Constants!$D$26)*1000</f>
        <v>3.3205756186177724</v>
      </c>
      <c r="Q37" s="105">
        <f>P37*(HRT!D37/1000)</f>
        <v>1.9373510207728815</v>
      </c>
      <c r="R37" s="67">
        <f>Rawdata!F39</f>
        <v>5.86</v>
      </c>
      <c r="S37" s="114">
        <f t="shared" si="12"/>
        <v>2.1116377955534378</v>
      </c>
      <c r="T37" s="114">
        <f t="shared" si="13"/>
        <v>2.9379308459873918</v>
      </c>
      <c r="U37" s="114">
        <f t="shared" si="8"/>
        <v>1703.5408389780018</v>
      </c>
      <c r="V37" s="114">
        <f t="shared" si="14"/>
        <v>139.01018705387213</v>
      </c>
      <c r="W37" s="148">
        <f t="shared" si="18"/>
        <v>5.5086203362263598E-3</v>
      </c>
      <c r="X37" s="104">
        <f t="shared" si="6"/>
        <v>6.3442472897540938</v>
      </c>
      <c r="Y37" s="104">
        <f t="shared" si="10"/>
        <v>1836.2067787421199</v>
      </c>
    </row>
    <row r="38" spans="2:27">
      <c r="B38" s="95">
        <f>[1]Rawdata!X40</f>
        <v>45509.54583333333</v>
      </c>
      <c r="C38" s="58">
        <f t="shared" si="4"/>
        <v>75.146527777775191</v>
      </c>
      <c r="D38" s="110">
        <f t="shared" si="0"/>
        <v>6336.0000000000009</v>
      </c>
      <c r="E38" s="111">
        <f t="shared" si="1"/>
        <v>258.98221949724098</v>
      </c>
      <c r="F38" s="110">
        <f t="shared" si="2"/>
        <v>58852.799999999996</v>
      </c>
      <c r="G38" s="111">
        <f t="shared" si="3"/>
        <v>2405.5916615573265</v>
      </c>
      <c r="H38" s="112">
        <f>[1]Rawdata!G40-[1]Rawdata!G39</f>
        <v>143368</v>
      </c>
      <c r="I38" s="113">
        <f t="shared" si="7"/>
        <v>47955.846689973281</v>
      </c>
      <c r="J38" s="112">
        <v>0.18</v>
      </c>
      <c r="K38" s="112">
        <v>0.15</v>
      </c>
      <c r="L38" s="112">
        <v>92.83</v>
      </c>
      <c r="M38" s="112">
        <v>7.5949999999999998</v>
      </c>
      <c r="N38" s="113">
        <v>2.9999999999999997E-4</v>
      </c>
      <c r="O38" s="112">
        <f t="shared" si="5"/>
        <v>100.75529999999999</v>
      </c>
      <c r="P38" s="105">
        <f>((M38/100)/Constants!$D$28/((10^-R38)^2))*(((10^-R38)^2)+(10^-R38)*Constants!$D$25+Constants!$D$25*Constants!$D$26)*1000</f>
        <v>3.4149995698580886</v>
      </c>
      <c r="Q38" s="105">
        <f>P38*(HRT!D38/1000)</f>
        <v>1.8036038484156531</v>
      </c>
      <c r="R38" s="67">
        <f>Rawdata!F40</f>
        <v>5.86</v>
      </c>
      <c r="S38" s="114">
        <f t="shared" si="12"/>
        <v>3.1292868400876332</v>
      </c>
      <c r="T38" s="114">
        <f t="shared" si="13"/>
        <v>2.8448062182614859</v>
      </c>
      <c r="U38" s="114">
        <f t="shared" si="8"/>
        <v>1762.2152119020768</v>
      </c>
      <c r="V38" s="114">
        <f t="shared" si="14"/>
        <v>143.85426101360585</v>
      </c>
      <c r="W38" s="148">
        <f t="shared" si="18"/>
        <v>5.215478066812722E-3</v>
      </c>
      <c r="X38" s="104">
        <f t="shared" si="6"/>
        <v>9.5319940746926477</v>
      </c>
      <c r="Y38" s="104">
        <f t="shared" si="10"/>
        <v>1896.5374788409899</v>
      </c>
      <c r="Z38" s="58">
        <f>AVERAGE(S38:S46)</f>
        <v>4.1913775803507889</v>
      </c>
      <c r="AA38" s="58">
        <f>AVERAGE(X38:X46)</f>
        <v>13.707851406822986</v>
      </c>
    </row>
    <row r="39" spans="2:27">
      <c r="B39" s="95">
        <f>[1]Rawdata!X41</f>
        <v>45511.492361111108</v>
      </c>
      <c r="C39" s="58">
        <f t="shared" si="4"/>
        <v>77.093055555553292</v>
      </c>
      <c r="D39" s="110">
        <f t="shared" si="0"/>
        <v>6336.0000000000009</v>
      </c>
      <c r="E39" s="111">
        <f t="shared" si="1"/>
        <v>258.98221949724098</v>
      </c>
      <c r="F39" s="110">
        <f t="shared" si="2"/>
        <v>58852.799999999996</v>
      </c>
      <c r="G39" s="111">
        <f t="shared" si="3"/>
        <v>2405.5916615573265</v>
      </c>
      <c r="H39" s="112">
        <f>[1]Rawdata!G41-[1]Rawdata!G40</f>
        <v>95696</v>
      </c>
      <c r="I39" s="113">
        <f t="shared" si="7"/>
        <v>49162.411701739962</v>
      </c>
      <c r="J39" s="112">
        <v>0.26500000000000001</v>
      </c>
      <c r="K39" s="112">
        <v>0.18</v>
      </c>
      <c r="L39" s="112">
        <v>93.07</v>
      </c>
      <c r="M39" s="112">
        <v>7.7350000000000003</v>
      </c>
      <c r="N39" s="113">
        <v>2.0000000000000001E-4</v>
      </c>
      <c r="O39" s="112">
        <f t="shared" si="5"/>
        <v>101.25019999999999</v>
      </c>
      <c r="P39" s="105">
        <f>((M39/100)/Constants!$D$28/((10^-R39)^2))*(((10^-R39)^2)+(10^-R39)*Constants!$D$25+Constants!$D$25*Constants!$D$26)*1000</f>
        <v>3.6262488646534501</v>
      </c>
      <c r="Q39" s="105">
        <f>P39*(HRT!D39/1000)</f>
        <v>1.9977612882521991</v>
      </c>
      <c r="R39" s="67">
        <f>Rawdata!F41</f>
        <v>5.93</v>
      </c>
      <c r="S39" s="114">
        <f t="shared" si="12"/>
        <v>4.3259655950475127</v>
      </c>
      <c r="T39" s="114">
        <f t="shared" si="13"/>
        <v>3.2080194300352338</v>
      </c>
      <c r="U39" s="114">
        <f t="shared" si="8"/>
        <v>1807.1842789198486</v>
      </c>
      <c r="V39" s="114">
        <f t="shared" si="14"/>
        <v>151.02484571988899</v>
      </c>
      <c r="W39" s="148">
        <f t="shared" si="18"/>
        <v>4.8606355000533853E-3</v>
      </c>
      <c r="X39" s="104">
        <f t="shared" si="6"/>
        <v>13.954924618383302</v>
      </c>
      <c r="Y39" s="104">
        <f t="shared" si="10"/>
        <v>1944.2542000213543</v>
      </c>
    </row>
    <row r="40" spans="2:27">
      <c r="B40" s="95">
        <f>[1]Rawdata!X42</f>
        <v>45513.549305555556</v>
      </c>
      <c r="C40" s="58">
        <f t="shared" si="4"/>
        <v>79.150000000001455</v>
      </c>
      <c r="D40" s="110">
        <f t="shared" si="0"/>
        <v>6336.0000000000009</v>
      </c>
      <c r="E40" s="111">
        <f t="shared" si="1"/>
        <v>258.98221949724098</v>
      </c>
      <c r="F40" s="110">
        <f t="shared" si="2"/>
        <v>58852.799999999996</v>
      </c>
      <c r="G40" s="111">
        <f t="shared" si="3"/>
        <v>2405.5916615573265</v>
      </c>
      <c r="H40" s="112">
        <f>[1]Rawdata!G42-[1]Rawdata!G41</f>
        <v>101535</v>
      </c>
      <c r="I40" s="113">
        <f t="shared" si="7"/>
        <v>49362.052667027572</v>
      </c>
      <c r="J40" s="112">
        <v>0.19</v>
      </c>
      <c r="K40" s="112">
        <v>0.12</v>
      </c>
      <c r="L40" s="112">
        <v>92.82</v>
      </c>
      <c r="M40" s="112">
        <v>7.7750000000000004</v>
      </c>
      <c r="N40" s="113">
        <v>1.5000000000000001E-4</v>
      </c>
      <c r="O40" s="112">
        <f t="shared" si="5"/>
        <v>100.90515000000001</v>
      </c>
      <c r="P40" s="105">
        <f>((M40/100)/Constants!$D$28/((10^-R40)^2))*(((10^-R40)^2)+(10^-R40)*Constants!$D$25+Constants!$D$25*Constants!$D$26)*1000</f>
        <v>3.6450012828287752</v>
      </c>
      <c r="Q40" s="105">
        <f>P40*(HRT!D40/1000)</f>
        <v>1.7334159240356488</v>
      </c>
      <c r="R40" s="67">
        <f>Rawdata!F42</f>
        <v>5.93</v>
      </c>
      <c r="S40" s="114">
        <f t="shared" si="12"/>
        <v>4.4411401493904821</v>
      </c>
      <c r="T40" s="114">
        <f t="shared" si="13"/>
        <v>2.9282242743233944</v>
      </c>
      <c r="U40" s="114">
        <f t="shared" si="8"/>
        <v>1814.4253678465859</v>
      </c>
      <c r="V40" s="114">
        <f t="shared" si="14"/>
        <v>153.12261090655517</v>
      </c>
      <c r="W40" s="148">
        <f t="shared" si="18"/>
        <v>3.4162616533772935E-3</v>
      </c>
      <c r="X40" s="104">
        <f t="shared" si="6"/>
        <v>15.398462537544447</v>
      </c>
      <c r="Y40" s="104">
        <f t="shared" si="10"/>
        <v>1952.1495162155966</v>
      </c>
    </row>
    <row r="41" spans="2:27">
      <c r="B41" s="95">
        <f>[1]Rawdata!X43</f>
        <v>45516.542361111111</v>
      </c>
      <c r="C41" s="58">
        <f t="shared" si="4"/>
        <v>82.143055555556202</v>
      </c>
      <c r="D41" s="110">
        <f t="shared" si="0"/>
        <v>6336.0000000000009</v>
      </c>
      <c r="E41" s="111">
        <f t="shared" si="1"/>
        <v>258.98221949724098</v>
      </c>
      <c r="F41" s="110">
        <f t="shared" si="2"/>
        <v>58852.799999999996</v>
      </c>
      <c r="G41" s="111">
        <f t="shared" si="3"/>
        <v>2405.5916615573265</v>
      </c>
      <c r="H41" s="112">
        <f>[1]Rawdata!G43-[1]Rawdata!G42</f>
        <v>148395</v>
      </c>
      <c r="I41" s="113">
        <f t="shared" si="7"/>
        <v>49579.767981451907</v>
      </c>
      <c r="J41" s="112">
        <v>0.4</v>
      </c>
      <c r="K41" s="112">
        <v>0.12</v>
      </c>
      <c r="L41" s="112">
        <v>92.335000000000008</v>
      </c>
      <c r="M41" s="112">
        <v>8.23</v>
      </c>
      <c r="N41" s="113">
        <v>5.9999999999999995E-4</v>
      </c>
      <c r="O41" s="112">
        <f t="shared" si="5"/>
        <v>101.08560000000001</v>
      </c>
      <c r="P41" s="105">
        <f>((M41/100)/Constants!$D$28/((10^-R41)^2))*(((10^-R41)^2)+(10^-R41)*Constants!$D$25+Constants!$D$25*Constants!$D$26)*1000</f>
        <v>3.7875608250035544</v>
      </c>
      <c r="Q41" s="105">
        <f>P41*(HRT!D41/1000)</f>
        <v>2.0620181418469814</v>
      </c>
      <c r="R41" s="67">
        <f>Rawdata!F43</f>
        <v>5.9</v>
      </c>
      <c r="S41" s="114">
        <f t="shared" si="12"/>
        <v>5.784240905848419</v>
      </c>
      <c r="T41" s="114">
        <f t="shared" si="13"/>
        <v>2.3529115549213904</v>
      </c>
      <c r="U41" s="114">
        <f t="shared" si="8"/>
        <v>1815.2222456311254</v>
      </c>
      <c r="V41" s="114">
        <f t="shared" si="14"/>
        <v>158.97180746066724</v>
      </c>
      <c r="W41" s="148">
        <f t="shared" si="18"/>
        <v>7.3528486091293463E-3</v>
      </c>
      <c r="X41" s="104">
        <f t="shared" si="6"/>
        <v>13.434423990633604</v>
      </c>
      <c r="Y41" s="104">
        <f t="shared" si="10"/>
        <v>1960.7596291011589</v>
      </c>
    </row>
    <row r="42" spans="2:27">
      <c r="B42" s="95">
        <f>[1]Rawdata!X44</f>
        <v>45518.556944444441</v>
      </c>
      <c r="C42" s="58">
        <f t="shared" si="4"/>
        <v>84.15763888888614</v>
      </c>
      <c r="D42" s="110">
        <f t="shared" si="0"/>
        <v>6336.0000000000009</v>
      </c>
      <c r="E42" s="111">
        <f t="shared" si="1"/>
        <v>258.98221949724098</v>
      </c>
      <c r="F42" s="110">
        <f t="shared" si="2"/>
        <v>58852.799999999996</v>
      </c>
      <c r="G42" s="111">
        <f t="shared" si="3"/>
        <v>2405.5916615573265</v>
      </c>
      <c r="H42" s="112">
        <f>[1]Rawdata!G44-[1]Rawdata!G43</f>
        <v>101141</v>
      </c>
      <c r="I42" s="113">
        <f t="shared" si="7"/>
        <v>50204.426060063932</v>
      </c>
      <c r="J42" s="112">
        <v>0.5</v>
      </c>
      <c r="K42" s="112">
        <v>9.5000000000000001E-2</v>
      </c>
      <c r="L42" s="112">
        <v>92.04</v>
      </c>
      <c r="M42" s="112">
        <v>8.3249999999999993</v>
      </c>
      <c r="N42" s="113">
        <v>2.5000000000000001E-4</v>
      </c>
      <c r="O42" s="112">
        <f t="shared" si="5"/>
        <v>100.96025</v>
      </c>
      <c r="P42" s="105">
        <f>((M42/100)/Constants!$D$28/((10^-R42)^2))*(((10^-R42)^2)+(10^-R42)*Constants!$D$25+Constants!$D$25*Constants!$D$26)*1000</f>
        <v>3.9533792991370369</v>
      </c>
      <c r="Q42" s="105">
        <f>P42*(HRT!D42/1000)</f>
        <v>1.9130512104196276</v>
      </c>
      <c r="R42" s="67">
        <f>Rawdata!F44</f>
        <v>5.95</v>
      </c>
      <c r="S42" s="114">
        <f t="shared" si="12"/>
        <v>8.9345850379770511</v>
      </c>
      <c r="T42" s="114">
        <f t="shared" si="13"/>
        <v>2.1343730924056286</v>
      </c>
      <c r="U42" s="114">
        <f t="shared" si="8"/>
        <v>1830.3490181966872</v>
      </c>
      <c r="V42" s="114">
        <f t="shared" si="14"/>
        <v>166.25977932565306</v>
      </c>
      <c r="W42" s="148">
        <f t="shared" si="18"/>
        <v>8.4382192025338806E-3</v>
      </c>
      <c r="X42" s="104">
        <f t="shared" si="6"/>
        <v>11.14545574966246</v>
      </c>
      <c r="Y42" s="104">
        <f t="shared" si="10"/>
        <v>1985.4633417726777</v>
      </c>
    </row>
    <row r="43" spans="2:27">
      <c r="B43" s="95">
        <f>[1]Rawdata!X45</f>
        <v>45520.679166666669</v>
      </c>
      <c r="C43" s="58">
        <f t="shared" si="4"/>
        <v>86.27986111111386</v>
      </c>
      <c r="D43" s="110">
        <f t="shared" si="0"/>
        <v>6336.0000000000009</v>
      </c>
      <c r="E43" s="111">
        <f t="shared" si="1"/>
        <v>258.98221949724098</v>
      </c>
      <c r="F43" s="110">
        <f t="shared" si="2"/>
        <v>58852.799999999996</v>
      </c>
      <c r="G43" s="111">
        <f t="shared" si="3"/>
        <v>2405.5916615573265</v>
      </c>
      <c r="H43" s="112">
        <f>[1]Rawdata!G45-[1]Rawdata!G44</f>
        <v>104757</v>
      </c>
      <c r="I43" s="113">
        <f t="shared" si="7"/>
        <v>49361.937172647005</v>
      </c>
      <c r="J43" s="112">
        <v>0.10500000000000001</v>
      </c>
      <c r="K43" s="112">
        <v>0.11</v>
      </c>
      <c r="L43" s="112">
        <v>93.174999999999997</v>
      </c>
      <c r="M43" s="112">
        <v>7.75</v>
      </c>
      <c r="N43" s="113">
        <v>2.5000000000000001E-4</v>
      </c>
      <c r="O43" s="112">
        <f t="shared" si="5"/>
        <v>101.14024999999999</v>
      </c>
      <c r="P43" s="105">
        <f>((M43/100)/Constants!$D$28/((10^-R43)^2))*(((10^-R43)^2)+(10^-R43)*Constants!$D$25+Constants!$D$25*Constants!$D$26)*1000</f>
        <v>3.8351754764961106</v>
      </c>
      <c r="Q43" s="105">
        <f>P43*(HRT!D43/1000)</f>
        <v>2.0129852182890882</v>
      </c>
      <c r="R43" s="67">
        <f>Rawdata!F45</f>
        <v>6.01</v>
      </c>
      <c r="S43" s="114">
        <f t="shared" si="12"/>
        <v>5.9052384697958225</v>
      </c>
      <c r="T43" s="114">
        <f t="shared" si="13"/>
        <v>2.000948572410155</v>
      </c>
      <c r="U43" s="114">
        <f>(AVERAGE(L42:L43)/100*I43)/$AA$2</f>
        <v>1807.8326333607165</v>
      </c>
      <c r="V43" s="114">
        <f t="shared" si="14"/>
        <v>158.91663546947564</v>
      </c>
      <c r="W43" s="148">
        <f t="shared" si="18"/>
        <v>4.8803623717320853E-3</v>
      </c>
      <c r="X43" s="104">
        <f t="shared" si="6"/>
        <v>14.604320137357945</v>
      </c>
      <c r="Y43" s="104">
        <f t="shared" si="10"/>
        <v>1952.1449486928343</v>
      </c>
    </row>
    <row r="44" spans="2:27">
      <c r="B44" s="95">
        <f>[1]Rawdata!X46</f>
        <v>45523.54791666667</v>
      </c>
      <c r="C44" s="58">
        <f t="shared" si="4"/>
        <v>89.148611111115315</v>
      </c>
      <c r="D44" s="110">
        <f t="shared" si="0"/>
        <v>6336.0000000000009</v>
      </c>
      <c r="E44" s="111">
        <f t="shared" si="1"/>
        <v>258.98221949724098</v>
      </c>
      <c r="F44" s="110">
        <f t="shared" si="2"/>
        <v>58852.799999999996</v>
      </c>
      <c r="G44" s="111">
        <f t="shared" si="3"/>
        <v>2405.5916615573265</v>
      </c>
      <c r="H44" s="112">
        <f>[1]Rawdata!G46-[1]Rawdata!G45</f>
        <v>143950</v>
      </c>
      <c r="I44" s="113">
        <f t="shared" si="7"/>
        <v>50178.649237447316</v>
      </c>
      <c r="J44" s="112">
        <v>6.5000000000000002E-2</v>
      </c>
      <c r="K44" s="112">
        <v>0.09</v>
      </c>
      <c r="L44" s="112">
        <v>92.67</v>
      </c>
      <c r="M44" s="112">
        <v>7.98</v>
      </c>
      <c r="N44" s="113">
        <v>1.5000000000000001E-4</v>
      </c>
      <c r="O44" s="112">
        <f t="shared" si="5"/>
        <v>100.80515000000001</v>
      </c>
      <c r="P44" s="105">
        <f>((M44/100)/Constants!$D$28/((10^-R44)^2))*(((10^-R44)^2)+(10^-R44)*Constants!$D$25+Constants!$D$25*Constants!$D$26)*1000</f>
        <v>3.9777765391663147</v>
      </c>
      <c r="Q44" s="105">
        <f>P44*(HRT!D44/1000)</f>
        <v>1.8179215737446277</v>
      </c>
      <c r="R44" s="67">
        <f>Rawdata!F46</f>
        <v>6.02</v>
      </c>
      <c r="S44" s="114">
        <f t="shared" si="12"/>
        <v>1.6867773412888643</v>
      </c>
      <c r="T44" s="114">
        <f t="shared" si="13"/>
        <v>1.9844439309280755</v>
      </c>
      <c r="U44" s="114">
        <f t="shared" si="8"/>
        <v>1843.9949117166409</v>
      </c>
      <c r="V44" s="114">
        <f t="shared" si="14"/>
        <v>157.89443674123774</v>
      </c>
      <c r="W44" s="148">
        <f t="shared" si="18"/>
        <v>3.9688878618561506E-3</v>
      </c>
      <c r="X44" s="104">
        <f t="shared" si="6"/>
        <v>17.44541752980308</v>
      </c>
      <c r="Y44" s="104">
        <f t="shared" si="10"/>
        <v>1984.4439309280756</v>
      </c>
    </row>
    <row r="45" spans="2:27">
      <c r="B45" s="95">
        <f>[1]Rawdata!X47</f>
        <v>45525.586805555555</v>
      </c>
      <c r="C45" s="58">
        <f t="shared" si="4"/>
        <v>91.1875</v>
      </c>
      <c r="D45" s="110">
        <f t="shared" si="0"/>
        <v>6336.0000000000009</v>
      </c>
      <c r="E45" s="111">
        <f t="shared" si="1"/>
        <v>258.98221949724098</v>
      </c>
      <c r="F45" s="110">
        <f t="shared" si="2"/>
        <v>58852.799999999996</v>
      </c>
      <c r="G45" s="111">
        <f t="shared" si="3"/>
        <v>2405.5916615573265</v>
      </c>
      <c r="H45" s="112">
        <f>[1]Rawdata!G47-[1]Rawdata!G46</f>
        <v>104261</v>
      </c>
      <c r="I45" s="113">
        <f t="shared" si="7"/>
        <v>51136.18528620898</v>
      </c>
      <c r="J45" s="112">
        <v>0.10500000000000001</v>
      </c>
      <c r="K45" s="112">
        <v>0.13</v>
      </c>
      <c r="L45" s="112">
        <v>92.47999999999999</v>
      </c>
      <c r="M45" s="112">
        <v>7.835</v>
      </c>
      <c r="N45" s="113">
        <v>3.0000000000000003E-4</v>
      </c>
      <c r="O45" s="112">
        <f t="shared" si="5"/>
        <v>100.55029999999998</v>
      </c>
      <c r="P45" s="105">
        <f>((M45/100)/Constants!$D$28/((10^-R45)^2))*(((10^-R45)^2)+(10^-R45)*Constants!$D$25+Constants!$D$25*Constants!$D$26)*1000</f>
        <v>3.9942901571757439</v>
      </c>
      <c r="Q45" s="105">
        <f>P45*(HRT!D45/1000)</f>
        <v>2.1048058912210466</v>
      </c>
      <c r="R45" s="67">
        <f>Rawdata!F47</f>
        <v>6.05</v>
      </c>
      <c r="S45" s="114">
        <f t="shared" si="12"/>
        <v>1.7189653362840163</v>
      </c>
      <c r="T45" s="114">
        <f t="shared" si="13"/>
        <v>2.2245433763675502</v>
      </c>
      <c r="U45" s="114">
        <f t="shared" si="8"/>
        <v>1872.1554824293266</v>
      </c>
      <c r="V45" s="114">
        <f t="shared" si="14"/>
        <v>162.01913996964291</v>
      </c>
      <c r="W45" s="148">
        <f t="shared" si="18"/>
        <v>4.5502023607518075E-3</v>
      </c>
      <c r="X45" s="104">
        <f t="shared" si="6"/>
        <v>11.862462064833153</v>
      </c>
      <c r="Y45" s="104">
        <f t="shared" si="10"/>
        <v>2022.3121603341365</v>
      </c>
    </row>
    <row r="46" spans="2:27">
      <c r="B46" s="95">
        <f>[1]Rawdata!X48</f>
        <v>45527.570138888892</v>
      </c>
      <c r="C46" s="58">
        <f t="shared" si="4"/>
        <v>93.170833333337214</v>
      </c>
      <c r="D46" s="110">
        <f t="shared" si="0"/>
        <v>6336.0000000000009</v>
      </c>
      <c r="E46" s="111">
        <f t="shared" si="1"/>
        <v>258.98221949724098</v>
      </c>
      <c r="F46" s="110">
        <f t="shared" si="2"/>
        <v>58852.799999999996</v>
      </c>
      <c r="G46" s="111">
        <f t="shared" si="3"/>
        <v>2405.5916615573265</v>
      </c>
      <c r="H46" s="112">
        <f>[1]Rawdata!G48-[1]Rawdata!G47</f>
        <v>102949</v>
      </c>
      <c r="I46" s="113">
        <f t="shared" si="7"/>
        <v>51907.058823427855</v>
      </c>
      <c r="J46" s="112">
        <v>7.0000000000000007E-2</v>
      </c>
      <c r="K46" s="112">
        <v>0.15</v>
      </c>
      <c r="L46" s="112">
        <v>93.18</v>
      </c>
      <c r="M46" s="112">
        <v>7.8650000000000002</v>
      </c>
      <c r="N46" s="113">
        <v>2.9999999999999997E-4</v>
      </c>
      <c r="O46" s="112">
        <f t="shared" si="5"/>
        <v>101.2653</v>
      </c>
      <c r="P46" s="105">
        <f>((M46/100)/Constants!$D$28/((10^-R46)^2))*(((10^-R46)^2)+(10^-R46)*Constants!$D$25+Constants!$D$25*Constants!$D$26)*1000</f>
        <v>4.0095841845803735</v>
      </c>
      <c r="Q46" s="105">
        <f>P46*(HRT!D46/1000)</f>
        <v>2.0341732469833</v>
      </c>
      <c r="R46" s="67">
        <f>Rawdata!F48</f>
        <v>6.05</v>
      </c>
      <c r="S46" s="114">
        <f t="shared" si="12"/>
        <v>1.7961985474372923</v>
      </c>
      <c r="T46" s="114">
        <f t="shared" si="13"/>
        <v>2.8739176758996678</v>
      </c>
      <c r="U46" s="114">
        <f t="shared" si="8"/>
        <v>1905.6126989554725</v>
      </c>
      <c r="V46" s="114">
        <f t="shared" si="14"/>
        <v>163.17884293135751</v>
      </c>
      <c r="W46" s="148">
        <f t="shared" si="18"/>
        <v>6.1583950197850023E-3</v>
      </c>
      <c r="X46" s="104">
        <f t="shared" si="6"/>
        <v>15.993201958496229</v>
      </c>
      <c r="Y46" s="104">
        <f t="shared" si="10"/>
        <v>2052.7983399283339</v>
      </c>
    </row>
    <row r="47" spans="2:27">
      <c r="B47" s="95">
        <f>[1]Rawdata!X49</f>
        <v>45530.55</v>
      </c>
      <c r="C47" s="58">
        <f t="shared" si="4"/>
        <v>96.150694444448163</v>
      </c>
      <c r="D47" s="110">
        <f t="shared" si="0"/>
        <v>6336.0000000000009</v>
      </c>
      <c r="E47" s="111">
        <f t="shared" si="1"/>
        <v>258.98221949724098</v>
      </c>
      <c r="F47" s="110">
        <f t="shared" si="2"/>
        <v>58852.799999999996</v>
      </c>
      <c r="G47" s="111">
        <f t="shared" si="3"/>
        <v>2405.5916615573265</v>
      </c>
      <c r="H47" s="112">
        <f>[1]Rawdata!G49-[1]Rawdata!G48</f>
        <v>153507</v>
      </c>
      <c r="I47" s="113">
        <f t="shared" si="7"/>
        <v>51514.81705896341</v>
      </c>
      <c r="J47" s="112">
        <v>0.11</v>
      </c>
      <c r="K47" s="112">
        <v>0.105</v>
      </c>
      <c r="L47" s="112">
        <v>92.88</v>
      </c>
      <c r="M47" s="112">
        <v>7.6749999999999998</v>
      </c>
      <c r="N47" s="113">
        <v>2.5000000000000001E-4</v>
      </c>
      <c r="O47" s="112">
        <f t="shared" si="5"/>
        <v>100.77024999999999</v>
      </c>
      <c r="P47" s="105">
        <f>((M47/100)/Constants!$D$28/((10^-R47)^2))*(((10^-R47)^2)+(10^-R47)*Constants!$D$25+Constants!$D$25*Constants!$D$26)*1000</f>
        <v>3.9741369765910499</v>
      </c>
      <c r="Q47" s="105">
        <f>P47*(HRT!D47/1000)</f>
        <v>2.1439664975340915</v>
      </c>
      <c r="R47" s="67">
        <f>Rawdata!F49</f>
        <v>6.07</v>
      </c>
      <c r="S47" s="114">
        <f t="shared" si="12"/>
        <v>1.8335575161380631</v>
      </c>
      <c r="T47" s="114">
        <f t="shared" si="13"/>
        <v>2.5975398145289228</v>
      </c>
      <c r="U47" s="114">
        <f t="shared" si="8"/>
        <v>1895.2872858480446</v>
      </c>
      <c r="V47" s="114">
        <f t="shared" si="14"/>
        <v>160.4410987241202</v>
      </c>
      <c r="W47" s="148">
        <f t="shared" si="18"/>
        <v>5.6025368548663036E-3</v>
      </c>
      <c r="X47" s="104">
        <f t="shared" si="6"/>
        <v>18.442255529872682</v>
      </c>
      <c r="Y47" s="104">
        <f t="shared" si="10"/>
        <v>2037.2861290422923</v>
      </c>
      <c r="Z47" s="58">
        <f>AVERAGE(S47:S54)</f>
        <v>4.2731804009839296</v>
      </c>
      <c r="AA47" s="58">
        <f>AVERAGE(X47:X54)</f>
        <v>12.306309645024896</v>
      </c>
    </row>
    <row r="48" spans="2:27">
      <c r="B48" s="95">
        <f>[1]Rawdata!X50</f>
        <v>45532.559027777781</v>
      </c>
      <c r="C48" s="58">
        <f t="shared" si="4"/>
        <v>98.159722222226264</v>
      </c>
      <c r="D48" s="110">
        <f t="shared" si="0"/>
        <v>6336.0000000000009</v>
      </c>
      <c r="E48" s="111">
        <f t="shared" si="1"/>
        <v>258.98221949724098</v>
      </c>
      <c r="F48" s="110">
        <f t="shared" si="2"/>
        <v>58852.799999999996</v>
      </c>
      <c r="G48" s="111">
        <f t="shared" si="3"/>
        <v>2405.5916615573265</v>
      </c>
      <c r="H48" s="112">
        <f>[1]Rawdata!G50-[1]Rawdata!G49</f>
        <v>100370</v>
      </c>
      <c r="I48" s="113">
        <f t="shared" si="7"/>
        <v>49959.488420316884</v>
      </c>
      <c r="J48" s="112">
        <v>0.125</v>
      </c>
      <c r="K48" s="112">
        <v>0.14500000000000002</v>
      </c>
      <c r="L48" s="112">
        <v>93.07</v>
      </c>
      <c r="M48" s="112">
        <v>7.415</v>
      </c>
      <c r="N48" s="113">
        <v>3.0000000000000003E-4</v>
      </c>
      <c r="O48" s="112">
        <f t="shared" si="5"/>
        <v>100.75529999999999</v>
      </c>
      <c r="P48" s="105">
        <f>((M48/100)/Constants!$D$28/((10^-R48)^2))*(((10^-R48)^2)+(10^-R48)*Constants!$D$25+Constants!$D$25*Constants!$D$26)*1000</f>
        <v>3.751515725263447</v>
      </c>
      <c r="Q48" s="105">
        <f>P48*(HRT!D48/1000)</f>
        <v>1.6660308867315914</v>
      </c>
      <c r="R48" s="67">
        <f>Rawdata!F50</f>
        <v>6.04</v>
      </c>
      <c r="S48" s="114">
        <f t="shared" si="12"/>
        <v>2.3215375659998547</v>
      </c>
      <c r="T48" s="114">
        <f t="shared" si="13"/>
        <v>2.4697208148934631</v>
      </c>
      <c r="U48" s="114">
        <f t="shared" si="8"/>
        <v>1836.9783421177576</v>
      </c>
      <c r="V48" s="114">
        <f t="shared" si="14"/>
        <v>150.73837927370101</v>
      </c>
      <c r="W48" s="148">
        <f t="shared" si="18"/>
        <v>5.4333857927656194E-3</v>
      </c>
      <c r="X48" s="104">
        <f t="shared" si="6"/>
        <v>11.940069476688222</v>
      </c>
      <c r="Y48" s="104">
        <f t="shared" si="10"/>
        <v>1975.7766519147704</v>
      </c>
    </row>
    <row r="49" spans="2:26">
      <c r="B49" s="95">
        <f>[1]Rawdata!X51</f>
        <v>45534.548611111109</v>
      </c>
      <c r="C49" s="58">
        <f t="shared" si="4"/>
        <v>100.14930555555475</v>
      </c>
      <c r="D49" s="110">
        <f t="shared" si="0"/>
        <v>6336.0000000000009</v>
      </c>
      <c r="E49" s="111">
        <f t="shared" si="1"/>
        <v>258.98221949724098</v>
      </c>
      <c r="F49" s="110">
        <f t="shared" si="2"/>
        <v>58852.799999999996</v>
      </c>
      <c r="G49" s="111">
        <f t="shared" si="3"/>
        <v>2405.5916615573265</v>
      </c>
      <c r="H49" s="112">
        <f>[1]Rawdata!G51-[1]Rawdata!G50</f>
        <v>99183</v>
      </c>
      <c r="I49" s="113">
        <f t="shared" si="7"/>
        <v>49851.141361378082</v>
      </c>
      <c r="J49" s="112">
        <v>0.17499999999999999</v>
      </c>
      <c r="K49" s="112">
        <v>0.10500000000000001</v>
      </c>
      <c r="L49" s="112">
        <v>92.82</v>
      </c>
      <c r="M49" s="112">
        <v>7.7350000000000003</v>
      </c>
      <c r="N49" s="113">
        <v>3.0000000000000003E-4</v>
      </c>
      <c r="O49" s="112">
        <f t="shared" si="5"/>
        <v>100.83529999999999</v>
      </c>
      <c r="P49" s="105">
        <f>((M49/100)/Constants!$D$28/((10^-R49)^2))*(((10^-R49)^2)+(10^-R49)*Constants!$D$25+Constants!$D$25*Constants!$D$26)*1000</f>
        <v>3.8556518208585762</v>
      </c>
      <c r="Q49" s="105">
        <f>P49*(HRT!D49/1000)</f>
        <v>2.2090824495498214</v>
      </c>
      <c r="R49" s="67">
        <f>Rawdata!F51</f>
        <v>6.02</v>
      </c>
      <c r="S49" s="114">
        <f t="shared" si="12"/>
        <v>2.9572376825938118</v>
      </c>
      <c r="T49" s="114">
        <f t="shared" si="13"/>
        <v>2.464364735494843</v>
      </c>
      <c r="U49" s="114">
        <f t="shared" si="8"/>
        <v>1832.4030427245452</v>
      </c>
      <c r="V49" s="114">
        <f t="shared" si="14"/>
        <v>151.54958542053731</v>
      </c>
      <c r="W49" s="148">
        <f t="shared" si="18"/>
        <v>5.914475365187623E-3</v>
      </c>
      <c r="X49" s="104">
        <f t="shared" si="6"/>
        <v>12.460839749208162</v>
      </c>
      <c r="Y49" s="104">
        <f t="shared" si="10"/>
        <v>1971.4917883958744</v>
      </c>
    </row>
    <row r="50" spans="2:26">
      <c r="B50" s="95">
        <f>[1]Rawdata!X52</f>
        <v>45537.536111111112</v>
      </c>
      <c r="C50" s="58">
        <f t="shared" si="4"/>
        <v>103.13680555555766</v>
      </c>
      <c r="D50" s="110">
        <f t="shared" si="0"/>
        <v>6336.0000000000009</v>
      </c>
      <c r="E50" s="111">
        <f t="shared" si="1"/>
        <v>258.98221949724098</v>
      </c>
      <c r="F50" s="110">
        <f t="shared" si="2"/>
        <v>58852.799999999996</v>
      </c>
      <c r="G50" s="111">
        <f t="shared" si="3"/>
        <v>2405.5916615573265</v>
      </c>
      <c r="H50" s="112">
        <f>[1]Rawdata!G52-[1]Rawdata!G51</f>
        <v>148718</v>
      </c>
      <c r="I50" s="113">
        <f t="shared" si="7"/>
        <v>49780.08368195987</v>
      </c>
      <c r="J50" s="112">
        <v>0.10500000000000001</v>
      </c>
      <c r="K50" s="112">
        <v>0.11499999999999999</v>
      </c>
      <c r="L50" s="112">
        <v>93.09</v>
      </c>
      <c r="M50" s="112">
        <v>7.51</v>
      </c>
      <c r="N50" s="113">
        <v>5.0000000000000001E-4</v>
      </c>
      <c r="O50" s="112">
        <f t="shared" si="5"/>
        <v>100.82050000000001</v>
      </c>
      <c r="P50" s="105">
        <f>((M50/100)/Constants!$D$28/((10^-R50)^2))*(((10^-R50)^2)+(10^-R50)*Constants!$D$25+Constants!$D$25*Constants!$D$26)*1000</f>
        <v>3.7434964673106541</v>
      </c>
      <c r="Q50" s="105">
        <f>P50*(HRT!D50/1000)</f>
        <v>1.8126667747636209</v>
      </c>
      <c r="R50" s="67">
        <f>Rawdata!F52</f>
        <v>6.02</v>
      </c>
      <c r="S50" s="114">
        <f t="shared" si="12"/>
        <v>2.7561542812126798</v>
      </c>
      <c r="T50" s="114">
        <f t="shared" si="13"/>
        <v>2.1655497923813911</v>
      </c>
      <c r="U50" s="114">
        <f t="shared" si="8"/>
        <v>1829.9880086437474</v>
      </c>
      <c r="V50" s="114">
        <f t="shared" si="14"/>
        <v>151.87542397864684</v>
      </c>
      <c r="W50" s="148">
        <f t="shared" si="18"/>
        <v>7.8747265177505129E-3</v>
      </c>
      <c r="X50" s="104">
        <f t="shared" si="6"/>
        <v>13.181803184765613</v>
      </c>
      <c r="Y50" s="104">
        <f t="shared" si="10"/>
        <v>1968.6816294376285</v>
      </c>
    </row>
    <row r="51" spans="2:26">
      <c r="B51" s="95">
        <f>[1]Rawdata!X53</f>
        <v>45539.540972222225</v>
      </c>
      <c r="C51" s="58">
        <f t="shared" si="4"/>
        <v>105.14166666667006</v>
      </c>
      <c r="D51" s="110">
        <f t="shared" si="0"/>
        <v>6336.0000000000009</v>
      </c>
      <c r="E51" s="111">
        <f t="shared" si="1"/>
        <v>258.98221949724098</v>
      </c>
      <c r="F51" s="110">
        <f t="shared" si="2"/>
        <v>58852.799999999996</v>
      </c>
      <c r="G51" s="111">
        <f t="shared" si="3"/>
        <v>2405.5916615573265</v>
      </c>
      <c r="H51" s="112">
        <f>[1]Rawdata!G53-[1]Rawdata!G52</f>
        <v>100459</v>
      </c>
      <c r="I51" s="113">
        <f t="shared" si="7"/>
        <v>50107.710426015474</v>
      </c>
      <c r="J51" s="112">
        <v>0.81</v>
      </c>
      <c r="K51" s="112">
        <v>0.17</v>
      </c>
      <c r="L51" s="112">
        <v>92.12</v>
      </c>
      <c r="M51" s="112">
        <v>8.0500000000000007</v>
      </c>
      <c r="N51" s="113">
        <v>3.5E-4</v>
      </c>
      <c r="O51" s="112">
        <f t="shared" si="5"/>
        <v>101.15035</v>
      </c>
      <c r="P51" s="105">
        <f>((M51/100)/Constants!$D$28/((10^-R51)^2))*(((10^-R51)^2)+(10^-R51)*Constants!$D$25+Constants!$D$25*Constants!$D$26)*1000</f>
        <v>3.8739532633346276</v>
      </c>
      <c r="Q51" s="105">
        <f>P51*(HRT!D51/1000)</f>
        <v>1.8480327043689706</v>
      </c>
      <c r="R51" s="67">
        <f>Rawdata!F53</f>
        <v>5.97</v>
      </c>
      <c r="S51" s="114">
        <f t="shared" si="12"/>
        <v>9.0659960135656412</v>
      </c>
      <c r="T51" s="114">
        <f t="shared" si="13"/>
        <v>2.8238348238974944</v>
      </c>
      <c r="U51" s="114">
        <f t="shared" si="8"/>
        <v>1835.0963078387895</v>
      </c>
      <c r="V51" s="114">
        <f t="shared" si="14"/>
        <v>156.01950589680763</v>
      </c>
      <c r="W51" s="148">
        <f t="shared" si="18"/>
        <v>8.4219635098697204E-3</v>
      </c>
      <c r="X51" s="104">
        <f t="shared" si="6"/>
        <v>9.4773408250744069</v>
      </c>
      <c r="Y51" s="104">
        <f t="shared" si="10"/>
        <v>1981.6384729105228</v>
      </c>
    </row>
    <row r="52" spans="2:26">
      <c r="B52" s="95">
        <f>[1]Rawdata!X54</f>
        <v>45541.478472222225</v>
      </c>
      <c r="C52" s="58">
        <f t="shared" si="4"/>
        <v>107.07916666667006</v>
      </c>
      <c r="D52" s="110">
        <f t="shared" si="0"/>
        <v>6336.0000000000009</v>
      </c>
      <c r="E52" s="111">
        <f t="shared" si="1"/>
        <v>258.98221949724098</v>
      </c>
      <c r="F52" s="110">
        <f t="shared" si="2"/>
        <v>58852.799999999996</v>
      </c>
      <c r="G52" s="111">
        <f t="shared" si="3"/>
        <v>2405.5916615573265</v>
      </c>
      <c r="H52" s="112">
        <f>[1]Rawdata!G54-[1]Rawdata!G53</f>
        <v>96738</v>
      </c>
      <c r="I52" s="113">
        <f t="shared" si="7"/>
        <v>49929.290322580644</v>
      </c>
      <c r="J52" s="112">
        <v>0.17</v>
      </c>
      <c r="K52" s="112">
        <v>0.18</v>
      </c>
      <c r="L52" s="112">
        <v>92.81</v>
      </c>
      <c r="M52" s="112">
        <v>7.67</v>
      </c>
      <c r="N52" s="113">
        <v>2.5000000000000001E-4</v>
      </c>
      <c r="O52" s="112">
        <f t="shared" si="5"/>
        <v>100.83024999999999</v>
      </c>
      <c r="P52" s="105">
        <f>((M52/100)/Constants!$D$28/((10^-R52)^2))*(((10^-R52)^2)+(10^-R52)*Constants!$D$25+Constants!$D$25*Constants!$D$26)*1000</f>
        <v>3.6910834198480247</v>
      </c>
      <c r="Q52" s="105">
        <f>P52*(HRT!D52/1000)</f>
        <v>1.6084310674450575</v>
      </c>
      <c r="R52" s="67">
        <f>Rawdata!F54</f>
        <v>5.97</v>
      </c>
      <c r="S52" s="114">
        <f t="shared" si="12"/>
        <v>9.6754537127519242</v>
      </c>
      <c r="T52" s="114">
        <f t="shared" si="13"/>
        <v>3.4555191831256868</v>
      </c>
      <c r="U52" s="114">
        <f t="shared" si="8"/>
        <v>1825.7976072440954</v>
      </c>
      <c r="V52" s="114">
        <f t="shared" si="14"/>
        <v>156.81060694954735</v>
      </c>
      <c r="W52" s="148">
        <f t="shared" si="18"/>
        <v>5.9237471710726066E-3</v>
      </c>
      <c r="X52" s="104">
        <f t="shared" si="6"/>
        <v>8.0258238361070653</v>
      </c>
      <c r="Y52" s="104">
        <f t="shared" si="10"/>
        <v>1974.5823903575356</v>
      </c>
    </row>
    <row r="53" spans="2:26">
      <c r="B53" s="95">
        <f>[1]Rawdata!X55</f>
        <v>45544.695833333331</v>
      </c>
      <c r="C53" s="58">
        <f t="shared" si="4"/>
        <v>110.29652777777665</v>
      </c>
      <c r="D53" s="110">
        <f t="shared" si="0"/>
        <v>6336.0000000000009</v>
      </c>
      <c r="E53" s="111">
        <f t="shared" si="1"/>
        <v>258.98221949724098</v>
      </c>
      <c r="F53" s="110">
        <f t="shared" si="2"/>
        <v>58852.799999999996</v>
      </c>
      <c r="G53" s="111">
        <f t="shared" si="3"/>
        <v>2405.5916615573265</v>
      </c>
      <c r="H53" s="112">
        <f>[1]Rawdata!G55-[1]Rawdata!G54</f>
        <v>160092</v>
      </c>
      <c r="I53" s="113">
        <f t="shared" si="7"/>
        <v>49758.791280018217</v>
      </c>
      <c r="J53" s="112">
        <v>0.13</v>
      </c>
      <c r="K53" s="112">
        <v>0.16500000000000001</v>
      </c>
      <c r="L53" s="112">
        <v>92.935000000000002</v>
      </c>
      <c r="M53" s="112">
        <v>7.6300000000000008</v>
      </c>
      <c r="N53" s="113">
        <v>5.0000000000000001E-4</v>
      </c>
      <c r="O53" s="112">
        <f t="shared" si="5"/>
        <v>100.8605</v>
      </c>
      <c r="P53" s="105">
        <f>((M53/100)/Constants!$D$28/((10^-R53)^2))*(((10^-R53)^2)+(10^-R53)*Constants!$D$25+Constants!$D$25*Constants!$D$26)*1000</f>
        <v>3.7226162778036476</v>
      </c>
      <c r="Q53" s="105">
        <f>P53*(HRT!D53/1000)</f>
        <v>2.0652011275061422</v>
      </c>
      <c r="R53" s="67">
        <f>Rawdata!F55</f>
        <v>5.99</v>
      </c>
      <c r="S53" s="114">
        <f t="shared" si="12"/>
        <v>2.9517593498389361</v>
      </c>
      <c r="T53" s="114">
        <f t="shared" si="13"/>
        <v>3.3945232523147757</v>
      </c>
      <c r="U53" s="114">
        <f>(AVERAGE(L52:L53)/100*I53)/$AA$2</f>
        <v>1827.581801452777</v>
      </c>
      <c r="V53" s="114">
        <f t="shared" si="14"/>
        <v>152.60492796929185</v>
      </c>
      <c r="W53" s="148">
        <f t="shared" si="18"/>
        <v>7.3793983745973389E-3</v>
      </c>
      <c r="X53" s="104">
        <f t="shared" si="6"/>
        <v>12.347162862778532</v>
      </c>
      <c r="Y53" s="104">
        <f>U53/AVERAGE(L52:L53)*100</f>
        <v>1967.8395665592902</v>
      </c>
    </row>
    <row r="54" spans="2:26">
      <c r="B54" s="95">
        <f>[1]Rawdata!X56</f>
        <v>45546.552777777775</v>
      </c>
      <c r="C54" s="58">
        <f t="shared" si="4"/>
        <v>112.15347222222044</v>
      </c>
      <c r="D54" s="110">
        <f t="shared" si="0"/>
        <v>6336.0000000000009</v>
      </c>
      <c r="E54" s="111">
        <f t="shared" si="1"/>
        <v>258.98221949724098</v>
      </c>
      <c r="F54" s="110">
        <f t="shared" si="2"/>
        <v>58852.799999999996</v>
      </c>
      <c r="G54" s="111">
        <f t="shared" si="3"/>
        <v>2405.5916615573265</v>
      </c>
      <c r="H54" s="112">
        <f>[1]Rawdata!G56-[1]Rawdata!G55</f>
        <v>89598</v>
      </c>
      <c r="I54" s="113">
        <f t="shared" si="7"/>
        <v>48250.231862395267</v>
      </c>
      <c r="J54" s="112">
        <v>0.14500000000000002</v>
      </c>
      <c r="K54" s="112">
        <v>0.13500000000000001</v>
      </c>
      <c r="L54" s="112">
        <v>93.22999999999999</v>
      </c>
      <c r="M54" s="112">
        <v>7.3149999999999995</v>
      </c>
      <c r="N54" s="113">
        <v>4.4999999999999999E-4</v>
      </c>
      <c r="O54" s="112">
        <f t="shared" si="5"/>
        <v>100.82544999999999</v>
      </c>
      <c r="P54" s="105">
        <f>((M54/100)/Constants!$D$28/((10^-R54)^2))*(((10^-R54)^2)+(10^-R54)*Constants!$D$25+Constants!$D$25*Constants!$D$26)*1000</f>
        <v>3.5689302846833124</v>
      </c>
      <c r="Q54" s="105">
        <f>P54*(HRT!D54/1000)</f>
        <v>1.9847843676854844</v>
      </c>
      <c r="R54" s="67">
        <f>Rawdata!F56</f>
        <v>5.99</v>
      </c>
      <c r="S54" s="114">
        <f t="shared" si="12"/>
        <v>2.6237470857705252</v>
      </c>
      <c r="T54" s="114">
        <f t="shared" si="13"/>
        <v>2.8622695481133</v>
      </c>
      <c r="U54" s="114">
        <f t="shared" si="8"/>
        <v>1776.1813680817081</v>
      </c>
      <c r="V54" s="114">
        <f t="shared" si="14"/>
        <v>144.57351235619637</v>
      </c>
      <c r="W54" s="148">
        <f t="shared" si="18"/>
        <v>9.0638535690254502E-3</v>
      </c>
      <c r="X54" s="104">
        <f t="shared" si="6"/>
        <v>12.575181695704487</v>
      </c>
      <c r="Y54" s="104">
        <f t="shared" si="10"/>
        <v>1908.1796987421999</v>
      </c>
    </row>
    <row r="55" spans="2:26" s="98" customFormat="1">
      <c r="B55" s="96">
        <f>[1]Rawdata!X57</f>
        <v>45547.59097222222</v>
      </c>
      <c r="C55" s="97">
        <f t="shared" si="4"/>
        <v>113.1916666666657</v>
      </c>
      <c r="D55" s="110">
        <f t="shared" si="0"/>
        <v>6336.0000000000009</v>
      </c>
      <c r="E55" s="111">
        <f t="shared" si="1"/>
        <v>258.98221949724098</v>
      </c>
      <c r="F55" s="110">
        <f t="shared" si="2"/>
        <v>58852.799999999996</v>
      </c>
      <c r="G55" s="111">
        <f t="shared" si="3"/>
        <v>2405.5916615573265</v>
      </c>
      <c r="H55" s="112">
        <f>[1]Rawdata!G57-[1]Rawdata!G56</f>
        <v>46988</v>
      </c>
      <c r="I55" s="113">
        <f t="shared" si="7"/>
        <v>45259.344481570108</v>
      </c>
      <c r="J55" s="112">
        <f>AVERAGE(J56,J54)</f>
        <v>0.19750000000000001</v>
      </c>
      <c r="K55" s="112">
        <f t="shared" ref="K55:N55" si="21">AVERAGE(K56,K54)</f>
        <v>0.155</v>
      </c>
      <c r="L55" s="112">
        <f t="shared" si="21"/>
        <v>93.304999999999993</v>
      </c>
      <c r="M55" s="112">
        <f t="shared" si="21"/>
        <v>7.0949999999999998</v>
      </c>
      <c r="N55" s="112">
        <f t="shared" si="21"/>
        <v>3.7500000000000001E-4</v>
      </c>
      <c r="O55" s="112">
        <f t="shared" si="5"/>
        <v>100.752875</v>
      </c>
      <c r="P55" s="105">
        <f>((M55/100)/Constants!$D$28/((10^-R55)^2))*(((10^-R55)^2)+(10^-R55)*Constants!$D$25+Constants!$D$25*Constants!$D$26)*1000</f>
        <v>3.536632148544486</v>
      </c>
      <c r="Q55" s="105">
        <f>P55*(HRT!D55/1000)</f>
        <v>2.2039337916646389</v>
      </c>
      <c r="R55" s="67">
        <f>Rawdata!F57</f>
        <v>6.02</v>
      </c>
      <c r="S55" s="114">
        <f t="shared" si="12"/>
        <v>3.0651992179343832</v>
      </c>
      <c r="T55" s="114">
        <f t="shared" si="13"/>
        <v>2.5953511626305725</v>
      </c>
      <c r="U55" s="114">
        <f t="shared" si="8"/>
        <v>1669.3925142113578</v>
      </c>
      <c r="V55" s="114">
        <f t="shared" si="14"/>
        <v>131.16603811410101</v>
      </c>
      <c r="W55" s="148">
        <f t="shared" si="18"/>
        <v>7.383326583345594E-3</v>
      </c>
      <c r="X55" s="104">
        <f t="shared" si="6"/>
        <v>10.661198787132889</v>
      </c>
      <c r="Y55" s="104">
        <f t="shared" si="10"/>
        <v>1789.8973535383259</v>
      </c>
    </row>
    <row r="56" spans="2:26">
      <c r="B56" s="95">
        <f>[1]Rawdata!X58</f>
        <v>45548.676388888889</v>
      </c>
      <c r="C56" s="58">
        <f t="shared" si="4"/>
        <v>114.2770833333343</v>
      </c>
      <c r="D56" s="110">
        <f t="shared" si="0"/>
        <v>6336.0000000000009</v>
      </c>
      <c r="E56" s="111">
        <f t="shared" si="1"/>
        <v>258.98221949724098</v>
      </c>
      <c r="F56" s="110">
        <f t="shared" si="2"/>
        <v>58852.799999999996</v>
      </c>
      <c r="G56" s="111">
        <f t="shared" si="3"/>
        <v>2405.5916615573265</v>
      </c>
      <c r="H56" s="112">
        <f>[1]Rawdata!G58-[1]Rawdata!G57</f>
        <v>50358</v>
      </c>
      <c r="I56" s="113">
        <f t="shared" si="7"/>
        <v>46395.08637227791</v>
      </c>
      <c r="J56" s="112">
        <v>0.25</v>
      </c>
      <c r="K56" s="112">
        <v>0.17499999999999999</v>
      </c>
      <c r="L56" s="112">
        <v>93.38</v>
      </c>
      <c r="M56" s="112">
        <v>6.875</v>
      </c>
      <c r="N56" s="113">
        <v>3.0000000000000003E-4</v>
      </c>
      <c r="O56" s="112">
        <f t="shared" si="5"/>
        <v>100.68029999999999</v>
      </c>
      <c r="P56" s="105">
        <f>((M56/100)/Constants!$D$28/((10^-R56)^2))*(((10^-R56)^2)+(10^-R56)*Constants!$D$25+Constants!$D$25*Constants!$D$26)*1000</f>
        <v>3.4021717936659046</v>
      </c>
      <c r="Q56" s="105">
        <f>P56*(HRT!D56/1000)</f>
        <v>1.6687750599104723</v>
      </c>
      <c r="R56" s="67">
        <f>Rawdata!F58</f>
        <v>6.01</v>
      </c>
      <c r="S56" s="114">
        <f t="shared" si="12"/>
        <v>4.1053945170438908</v>
      </c>
      <c r="T56" s="114">
        <f t="shared" si="13"/>
        <v>3.0274417667586229</v>
      </c>
      <c r="U56" s="114">
        <f t="shared" si="8"/>
        <v>1712.6605037191928</v>
      </c>
      <c r="V56" s="114">
        <f t="shared" si="14"/>
        <v>129.83047651935885</v>
      </c>
      <c r="W56" s="148">
        <f t="shared" si="18"/>
        <v>6.1924945229153662E-3</v>
      </c>
      <c r="X56" s="104">
        <f t="shared" si="6"/>
        <v>7.6777882636283721</v>
      </c>
      <c r="Y56" s="104">
        <f t="shared" si="10"/>
        <v>1834.8131919749233</v>
      </c>
    </row>
    <row r="57" spans="2:26">
      <c r="B57" s="95">
        <f>[1]Rawdata!X59</f>
        <v>45551.6875</v>
      </c>
      <c r="C57" s="58">
        <f t="shared" si="4"/>
        <v>117.28819444444525</v>
      </c>
      <c r="D57" s="110">
        <f t="shared" si="0"/>
        <v>6336.0000000000009</v>
      </c>
      <c r="E57" s="111">
        <f t="shared" si="1"/>
        <v>258.98221949724098</v>
      </c>
      <c r="F57" s="110">
        <f t="shared" si="2"/>
        <v>58852.799999999996</v>
      </c>
      <c r="G57" s="111">
        <f t="shared" si="3"/>
        <v>2405.5916615573265</v>
      </c>
      <c r="H57" s="112">
        <f>[1]Rawdata!G59-[1]Rawdata!G58</f>
        <v>133829</v>
      </c>
      <c r="I57" s="113">
        <f t="shared" si="7"/>
        <v>44445.055350555893</v>
      </c>
      <c r="J57" s="112">
        <v>0.26</v>
      </c>
      <c r="K57" s="112">
        <v>0.16500000000000001</v>
      </c>
      <c r="L57" s="112">
        <v>93.114999999999995</v>
      </c>
      <c r="M57" s="112">
        <v>7.0600000000000005</v>
      </c>
      <c r="N57" s="113">
        <v>4.4999999999999999E-4</v>
      </c>
      <c r="O57" s="112">
        <f t="shared" si="5"/>
        <v>100.60045</v>
      </c>
      <c r="P57" s="105">
        <f>((M57/100)/Constants!$D$28/((10^-R57)^2))*(((10^-R57)^2)+(10^-R57)*Constants!$D$25+Constants!$D$25*Constants!$D$26)*1000</f>
        <v>3.2109173601111283</v>
      </c>
      <c r="Q57" s="105">
        <f>P57*(HRT!D57/1000)</f>
        <v>1.5538944278371838</v>
      </c>
      <c r="R57" s="67">
        <f>Rawdata!F59</f>
        <v>5.88</v>
      </c>
      <c r="S57" s="114">
        <f t="shared" si="12"/>
        <v>4.4821201907742436</v>
      </c>
      <c r="T57" s="114">
        <f t="shared" si="13"/>
        <v>2.9880801271828288</v>
      </c>
      <c r="U57" s="114">
        <f t="shared" si="8"/>
        <v>1639.0058921145933</v>
      </c>
      <c r="V57" s="114">
        <f t="shared" si="14"/>
        <v>124.02123728752166</v>
      </c>
      <c r="W57" s="148">
        <f t="shared" si="18"/>
        <v>6.5913532217268291E-3</v>
      </c>
      <c r="X57" s="104">
        <f t="shared" si="6"/>
        <v>5.3329369416271675</v>
      </c>
      <c r="Y57" s="104">
        <f t="shared" si="10"/>
        <v>1757.6941924604878</v>
      </c>
      <c r="Z57" s="58">
        <f>AVERAGE(S55:S64)</f>
        <v>4.6766243428851215</v>
      </c>
    </row>
    <row r="58" spans="2:26">
      <c r="B58" s="95">
        <f>[1]Rawdata!X60</f>
        <v>45553.581250000003</v>
      </c>
      <c r="C58" s="58">
        <f t="shared" si="4"/>
        <v>119.18194444444816</v>
      </c>
      <c r="D58" s="110">
        <f t="shared" si="0"/>
        <v>6336.0000000000009</v>
      </c>
      <c r="E58" s="111">
        <f t="shared" si="1"/>
        <v>258.98221949724098</v>
      </c>
      <c r="F58" s="110">
        <f t="shared" si="2"/>
        <v>58852.799999999996</v>
      </c>
      <c r="G58" s="111">
        <f t="shared" si="3"/>
        <v>2405.5916615573265</v>
      </c>
      <c r="H58" s="112">
        <f>[1]Rawdata!G60-[1]Rawdata!G59</f>
        <v>84938</v>
      </c>
      <c r="I58" s="113">
        <f t="shared" si="7"/>
        <v>44851.749174848563</v>
      </c>
      <c r="J58" s="112">
        <v>0.42</v>
      </c>
      <c r="K58" s="112">
        <v>0.15000000000000002</v>
      </c>
      <c r="L58" s="112">
        <v>93.134999999999991</v>
      </c>
      <c r="M58" s="112">
        <v>7.07</v>
      </c>
      <c r="N58" s="113">
        <v>2.9999999999999997E-4</v>
      </c>
      <c r="O58" s="112">
        <f t="shared" si="5"/>
        <v>100.77529999999997</v>
      </c>
      <c r="P58" s="105">
        <f>((M58/100)/Constants!$D$28/((10^-R58)^2))*(((10^-R58)^2)+(10^-R58)*Constants!$D$25+Constants!$D$25*Constants!$D$26)*1000</f>
        <v>3.1612980557426877</v>
      </c>
      <c r="Q58" s="105">
        <f>P58*(HRT!D58/1000)</f>
        <v>1.6864011089954336</v>
      </c>
      <c r="R58" s="67">
        <f>Rawdata!F60</f>
        <v>5.85</v>
      </c>
      <c r="S58" s="114">
        <f t="shared" si="12"/>
        <v>6.030845020742114</v>
      </c>
      <c r="T58" s="114">
        <f t="shared" si="13"/>
        <v>2.7937002669614208</v>
      </c>
      <c r="U58" s="114">
        <f t="shared" si="8"/>
        <v>1651.8307134017923</v>
      </c>
      <c r="V58" s="114">
        <f t="shared" si="14"/>
        <v>127.00381308412203</v>
      </c>
      <c r="W58" s="148">
        <f t="shared" si="18"/>
        <v>6.6516673022890965E-3</v>
      </c>
      <c r="X58" s="104">
        <f t="shared" si="6"/>
        <v>5.0565792088218586</v>
      </c>
      <c r="Y58" s="104">
        <f t="shared" si="10"/>
        <v>1773.7779472770924</v>
      </c>
    </row>
    <row r="59" spans="2:26">
      <c r="B59" s="95">
        <f>[1]Rawdata!X61</f>
        <v>45555.600694444445</v>
      </c>
      <c r="C59" s="58">
        <f t="shared" si="4"/>
        <v>121.20138888889051</v>
      </c>
      <c r="D59" s="110">
        <f t="shared" si="0"/>
        <v>6336.0000000000009</v>
      </c>
      <c r="E59" s="111">
        <f t="shared" si="1"/>
        <v>258.98221949724098</v>
      </c>
      <c r="F59" s="110">
        <f t="shared" si="2"/>
        <v>58852.799999999996</v>
      </c>
      <c r="G59" s="111">
        <f t="shared" si="3"/>
        <v>2405.5916615573265</v>
      </c>
      <c r="H59" s="112">
        <f>[1]Rawdata!G61-[1]Rawdata!G60</f>
        <v>89308</v>
      </c>
      <c r="I59" s="113">
        <f t="shared" si="7"/>
        <v>44224.044016552223</v>
      </c>
      <c r="J59" s="112">
        <v>0.25</v>
      </c>
      <c r="K59" s="112">
        <v>0.18</v>
      </c>
      <c r="L59" s="112">
        <v>92.53</v>
      </c>
      <c r="M59" s="112">
        <v>7.49</v>
      </c>
      <c r="N59" s="113">
        <v>4.0000000000000002E-4</v>
      </c>
      <c r="O59" s="112">
        <f t="shared" si="5"/>
        <v>100.4504</v>
      </c>
      <c r="P59" s="105">
        <f>((M59/100)/Constants!$D$28/((10^-R59)^2))*(((10^-R59)^2)+(10^-R59)*Constants!$D$25+Constants!$D$25*Constants!$D$26)*1000</f>
        <v>3.2455632105331378</v>
      </c>
      <c r="Q59" s="105">
        <f>P59*(HRT!D59/1000)</f>
        <v>1.7746019138940543</v>
      </c>
      <c r="R59" s="67">
        <f>Rawdata!F61</f>
        <v>5.79</v>
      </c>
      <c r="S59" s="114">
        <f t="shared" si="12"/>
        <v>5.8589949954698222</v>
      </c>
      <c r="T59" s="114">
        <f t="shared" si="13"/>
        <v>2.8857736544851367</v>
      </c>
      <c r="U59" s="114">
        <f t="shared" si="8"/>
        <v>1623.5974713938874</v>
      </c>
      <c r="V59" s="114">
        <f t="shared" si="14"/>
        <v>129.09843345723829</v>
      </c>
      <c r="W59" s="148">
        <f t="shared" si="18"/>
        <v>6.1213380549684712E-3</v>
      </c>
      <c r="X59" s="104">
        <f t="shared" si="6"/>
        <v>3.7421748601339004</v>
      </c>
      <c r="Y59" s="104">
        <f t="shared" si="10"/>
        <v>1748.9537299909919</v>
      </c>
    </row>
    <row r="60" spans="2:26">
      <c r="B60" s="95">
        <f>[1]Rawdata!X62</f>
        <v>45558.574999999997</v>
      </c>
      <c r="C60" s="58">
        <f t="shared" si="4"/>
        <v>124.17569444444234</v>
      </c>
      <c r="D60" s="110">
        <f t="shared" si="0"/>
        <v>6336.0000000000009</v>
      </c>
      <c r="E60" s="111">
        <f t="shared" si="1"/>
        <v>258.98221949724098</v>
      </c>
      <c r="F60" s="110">
        <f t="shared" si="2"/>
        <v>58852.799999999996</v>
      </c>
      <c r="G60" s="111">
        <f t="shared" si="3"/>
        <v>2405.5916615573265</v>
      </c>
      <c r="H60" s="112">
        <f>[1]Rawdata!G62-[1]Rawdata!G61</f>
        <v>137829</v>
      </c>
      <c r="I60" s="113">
        <f t="shared" si="7"/>
        <v>46339.892598703751</v>
      </c>
      <c r="J60" s="112">
        <v>0.28999999999999998</v>
      </c>
      <c r="K60" s="112">
        <v>0.155</v>
      </c>
      <c r="L60" s="112">
        <v>92.91</v>
      </c>
      <c r="M60" s="112">
        <v>6.8900000000000006</v>
      </c>
      <c r="N60" s="113">
        <v>2.8E-3</v>
      </c>
      <c r="O60" s="112">
        <f t="shared" si="5"/>
        <v>100.24779999999998</v>
      </c>
      <c r="P60" s="105">
        <f>((M60/100)/Constants!$D$28/((10^-R60)^2))*(((10^-R60)^2)+(10^-R60)*Constants!$D$25+Constants!$D$25*Constants!$D$26)*1000</f>
        <v>2.8652503359480983</v>
      </c>
      <c r="Q60" s="105">
        <f>P60*(HRT!D60/1000)</f>
        <v>1.3726549365688701</v>
      </c>
      <c r="R60" s="67">
        <f>Rawdata!F62</f>
        <v>5.7</v>
      </c>
      <c r="S60" s="114">
        <f t="shared" si="12"/>
        <v>4.9481021124930846</v>
      </c>
      <c r="T60" s="114">
        <f t="shared" si="13"/>
        <v>3.0696559401577463</v>
      </c>
      <c r="U60" s="114">
        <f t="shared" si="8"/>
        <v>1699.2149180383658</v>
      </c>
      <c r="V60" s="114">
        <f t="shared" si="14"/>
        <v>133.13878156184765</v>
      </c>
      <c r="W60" s="148">
        <f t="shared" si="18"/>
        <v>2.9322086592551606E-2</v>
      </c>
      <c r="X60" s="104">
        <f t="shared" si="6"/>
        <v>-0.27671243426198089</v>
      </c>
      <c r="Y60" s="104">
        <f t="shared" si="10"/>
        <v>1832.6304120344755</v>
      </c>
    </row>
    <row r="61" spans="2:26">
      <c r="B61" s="95">
        <f>[1]Rawdata!X63</f>
        <v>45560.561111111114</v>
      </c>
      <c r="C61" s="58">
        <f t="shared" si="4"/>
        <v>126.16180555555911</v>
      </c>
      <c r="D61" s="110">
        <f t="shared" si="0"/>
        <v>6336.0000000000009</v>
      </c>
      <c r="E61" s="111">
        <f t="shared" si="1"/>
        <v>258.98221949724098</v>
      </c>
      <c r="F61" s="110">
        <f t="shared" si="2"/>
        <v>58852.799999999996</v>
      </c>
      <c r="G61" s="111">
        <f t="shared" si="3"/>
        <v>2405.5916615573265</v>
      </c>
      <c r="H61" s="112">
        <f>[1]Rawdata!G63-[1]Rawdata!G62</f>
        <v>90632</v>
      </c>
      <c r="I61" s="113">
        <f t="shared" si="7"/>
        <v>45632.895104765084</v>
      </c>
      <c r="J61" s="112">
        <v>0.26</v>
      </c>
      <c r="K61" s="112">
        <v>0.19</v>
      </c>
      <c r="L61" s="112">
        <v>92.775000000000006</v>
      </c>
      <c r="M61" s="112">
        <v>7.0350000000000001</v>
      </c>
      <c r="N61" s="113">
        <v>4.4999999999999999E-4</v>
      </c>
      <c r="O61" s="112">
        <f>SUM(J61:N61)</f>
        <v>100.26045000000001</v>
      </c>
      <c r="P61" s="105">
        <f>((M61/100)/Constants!$D$28/((10^-R61)^2))*(((10^-R61)^2)+(10^-R61)*Constants!$D$25+Constants!$D$25*Constants!$D$26)*1000</f>
        <v>2.9506934898163868</v>
      </c>
      <c r="Q61" s="105">
        <f>P61*(HRT!D61/1000)</f>
        <v>1.7212526790891274</v>
      </c>
      <c r="R61" s="67">
        <f>Rawdata!F63</f>
        <v>5.72</v>
      </c>
      <c r="S61" s="114">
        <f t="shared" si="12"/>
        <v>4.9628435315235304</v>
      </c>
      <c r="T61" s="114">
        <f t="shared" si="13"/>
        <v>3.1130563970465777</v>
      </c>
      <c r="U61" s="114">
        <f t="shared" si="8"/>
        <v>1675.5010930017213</v>
      </c>
      <c r="V61" s="114">
        <f t="shared" si="14"/>
        <v>127.37142754538942</v>
      </c>
      <c r="W61" s="148">
        <f t="shared" si="18"/>
        <v>2.9325893595366311E-2</v>
      </c>
      <c r="X61" s="104">
        <f t="shared" si="6"/>
        <v>-1.7978545523549201</v>
      </c>
      <c r="Y61" s="104">
        <f t="shared" si="10"/>
        <v>1804.6703750994657</v>
      </c>
    </row>
    <row r="62" spans="2:26">
      <c r="B62" s="95">
        <f>[1]Rawdata!X64</f>
        <v>45562.584027777775</v>
      </c>
      <c r="C62" s="58">
        <f t="shared" si="4"/>
        <v>128.18472222222044</v>
      </c>
      <c r="D62" s="110">
        <f t="shared" si="0"/>
        <v>6336.0000000000009</v>
      </c>
      <c r="E62" s="111">
        <f t="shared" si="1"/>
        <v>258.98221949724098</v>
      </c>
      <c r="F62" s="110">
        <f t="shared" si="2"/>
        <v>58852.799999999996</v>
      </c>
      <c r="G62" s="111">
        <f t="shared" si="3"/>
        <v>2405.5916615573265</v>
      </c>
      <c r="H62" s="112">
        <f>[1]Rawdata!G64-[1]Rawdata!G63</f>
        <v>85705</v>
      </c>
      <c r="I62" s="113">
        <f t="shared" si="7"/>
        <v>42367.044284354793</v>
      </c>
      <c r="J62" s="112">
        <v>0.32500000000000001</v>
      </c>
      <c r="K62" s="112">
        <v>0.17</v>
      </c>
      <c r="L62" s="112">
        <v>93.384999999999991</v>
      </c>
      <c r="M62" s="112">
        <v>6.71</v>
      </c>
      <c r="N62" s="113">
        <v>5.4999999999999992E-4</v>
      </c>
      <c r="O62" s="112">
        <f>SUM(J62:N62)</f>
        <v>100.59054999999999</v>
      </c>
      <c r="P62" s="105">
        <f>((M62/100)/Constants!$D$28/((10^-R62)^2))*(((10^-R62)^2)+(10^-R62)*Constants!$D$25+Constants!$D$25*Constants!$D$26)*1000</f>
        <v>2.907573984336095</v>
      </c>
      <c r="Q62" s="105">
        <f>P62*(HRT!D62/1000)</f>
        <v>1.5179512510148465</v>
      </c>
      <c r="R62" s="67">
        <f>Rawdata!F64</f>
        <v>5.79</v>
      </c>
      <c r="S62" s="114">
        <f t="shared" si="12"/>
        <v>4.9008781354005277</v>
      </c>
      <c r="T62" s="114">
        <f t="shared" si="13"/>
        <v>3.0159250064003249</v>
      </c>
      <c r="U62" s="114">
        <f t="shared" si="8"/>
        <v>1559.5683310874572</v>
      </c>
      <c r="V62" s="114">
        <f t="shared" si="14"/>
        <v>116.66764350927174</v>
      </c>
      <c r="W62" s="148">
        <f t="shared" si="18"/>
        <v>8.3775694622231275E-3</v>
      </c>
      <c r="X62" s="104">
        <f t="shared" si="6"/>
        <v>0.72208215210366689</v>
      </c>
      <c r="Y62" s="104">
        <f t="shared" si="10"/>
        <v>1675.5138924446253</v>
      </c>
    </row>
    <row r="63" spans="2:26">
      <c r="B63" s="95">
        <f>[1]Rawdata!X65</f>
        <v>45565.570138888892</v>
      </c>
      <c r="C63" s="58">
        <f t="shared" si="4"/>
        <v>131.17083333333721</v>
      </c>
      <c r="D63" s="110">
        <f t="shared" si="0"/>
        <v>6336.0000000000009</v>
      </c>
      <c r="E63" s="111">
        <f t="shared" si="1"/>
        <v>258.98221949724098</v>
      </c>
      <c r="F63" s="110">
        <f t="shared" si="2"/>
        <v>58852.799999999996</v>
      </c>
      <c r="G63" s="111">
        <f t="shared" si="3"/>
        <v>2405.5916615573265</v>
      </c>
      <c r="H63" s="112">
        <f>[1]Rawdata!G65-[1]Rawdata!G64</f>
        <v>122437</v>
      </c>
      <c r="I63" s="113">
        <f t="shared" si="7"/>
        <v>41002.158139457177</v>
      </c>
      <c r="J63" s="112">
        <v>0.28999999999999998</v>
      </c>
      <c r="K63" s="112">
        <v>0.19500000000000001</v>
      </c>
      <c r="L63" s="112">
        <v>93.22</v>
      </c>
      <c r="M63" s="112">
        <v>6.66</v>
      </c>
      <c r="N63" s="113">
        <v>6.0000000000000006E-4</v>
      </c>
      <c r="O63" s="112">
        <f>SUM(J63:N63)</f>
        <v>100.3656</v>
      </c>
      <c r="P63" s="105">
        <f>((M63/100)/Constants!$D$28/((10^-R63)^2))*(((10^-R63)^2)+(10^-R63)*Constants!$D$25+Constants!$D$25*Constants!$D$26)*1000</f>
        <v>2.8859080082978235</v>
      </c>
      <c r="Q63" s="105">
        <f>P63*(HRT!D63/1000)</f>
        <v>1.5305567484499873</v>
      </c>
      <c r="R63" s="67">
        <f>Rawdata!F65</f>
        <v>5.79</v>
      </c>
      <c r="S63" s="114">
        <f t="shared" si="12"/>
        <v>4.9862230593542201</v>
      </c>
      <c r="T63" s="114">
        <f t="shared" si="13"/>
        <v>2.9593031165273014</v>
      </c>
      <c r="U63" s="114">
        <f t="shared" si="8"/>
        <v>1512.9335837248686</v>
      </c>
      <c r="V63" s="114">
        <f t="shared" si="14"/>
        <v>109.93023529083361</v>
      </c>
      <c r="W63" s="148">
        <f t="shared" si="18"/>
        <v>9.3238317370038272E-3</v>
      </c>
      <c r="X63" s="104">
        <f t="shared" si="6"/>
        <v>1.3278647541674218</v>
      </c>
      <c r="Y63" s="104">
        <f t="shared" si="10"/>
        <v>1621.5359542615349</v>
      </c>
    </row>
    <row r="64" spans="2:26">
      <c r="B64" s="95">
        <f>[1]Rawdata!X66</f>
        <v>45566.424305555556</v>
      </c>
      <c r="C64" s="58">
        <f t="shared" si="4"/>
        <v>132.02500000000146</v>
      </c>
      <c r="D64" s="110">
        <f t="shared" si="0"/>
        <v>6336.0000000000009</v>
      </c>
      <c r="E64" s="111">
        <f t="shared" si="1"/>
        <v>258.98221949724098</v>
      </c>
      <c r="F64" s="110">
        <f t="shared" si="2"/>
        <v>58852.799999999996</v>
      </c>
      <c r="G64" s="111">
        <f t="shared" si="3"/>
        <v>2405.5916615573265</v>
      </c>
      <c r="H64" s="112">
        <f>[1]Rawdata!G66-[1]Rawdata!G65</f>
        <v>36092</v>
      </c>
      <c r="I64" s="113">
        <f t="shared" si="7"/>
        <v>42254.04878060778</v>
      </c>
      <c r="J64" s="112">
        <v>0.12</v>
      </c>
      <c r="K64" s="112">
        <v>0.19500000000000001</v>
      </c>
      <c r="L64" s="112">
        <v>93.710000000000008</v>
      </c>
      <c r="M64" s="112">
        <v>6.2149999999999999</v>
      </c>
      <c r="N64" s="113">
        <v>1.25E-3</v>
      </c>
      <c r="O64" s="112">
        <f>SUM(J64:N64)</f>
        <v>100.24125000000001</v>
      </c>
      <c r="P64" s="105">
        <f>((M64/100)/Constants!$D$28/((10^-R64)^2))*(((10^-R64)^2)+(10^-R64)*Constants!$D$25+Constants!$D$25*Constants!$D$26)*1000</f>
        <v>2.6669823705600311</v>
      </c>
      <c r="Q64" s="105">
        <f>P64*(HRT!D64/1000)</f>
        <v>1.4009853537643129</v>
      </c>
      <c r="R64" s="67">
        <f>Rawdata!F66</f>
        <v>5.77</v>
      </c>
      <c r="S64" s="114">
        <f t="shared" si="12"/>
        <v>3.4256426481153972</v>
      </c>
      <c r="T64" s="114">
        <f t="shared" si="13"/>
        <v>3.2585381286951347</v>
      </c>
      <c r="U64" s="114">
        <f t="shared" si="8"/>
        <v>1561.8423907614908</v>
      </c>
      <c r="V64" s="114">
        <f t="shared" si="14"/>
        <v>108.97451973055881</v>
      </c>
      <c r="W64" s="148">
        <f t="shared" si="18"/>
        <v>1.5457168046374356E-2</v>
      </c>
      <c r="X64" s="104">
        <f t="shared" si="6"/>
        <v>-0.22828371058312769</v>
      </c>
      <c r="Y64" s="104">
        <f t="shared" si="10"/>
        <v>1671.0451942026327</v>
      </c>
    </row>
    <row r="65" spans="2:2">
      <c r="B65" s="95"/>
    </row>
    <row r="66" spans="2:2">
      <c r="B66" s="95"/>
    </row>
    <row r="67" spans="2:2">
      <c r="B67" s="95"/>
    </row>
    <row r="68" spans="2:2">
      <c r="B68" s="95"/>
    </row>
    <row r="69" spans="2:2">
      <c r="B69" s="95"/>
    </row>
    <row r="70" spans="2:2">
      <c r="B70" s="95"/>
    </row>
    <row r="71" spans="2:2">
      <c r="B71" s="95"/>
    </row>
    <row r="72" spans="2:2">
      <c r="B72" s="95"/>
    </row>
    <row r="73" spans="2:2">
      <c r="B73" s="95"/>
    </row>
    <row r="74" spans="2:2">
      <c r="B74" s="95"/>
    </row>
    <row r="75" spans="2:2">
      <c r="B75" s="95"/>
    </row>
    <row r="76" spans="2:2">
      <c r="B76" s="95"/>
    </row>
    <row r="77" spans="2:2">
      <c r="B77" s="95"/>
    </row>
    <row r="78" spans="2:2">
      <c r="B78" s="95"/>
    </row>
    <row r="79" spans="2:2">
      <c r="B79" s="95"/>
    </row>
    <row r="80" spans="2:2">
      <c r="B80" s="95"/>
    </row>
    <row r="81" spans="2:2">
      <c r="B81" s="95"/>
    </row>
    <row r="82" spans="2:2">
      <c r="B82" s="95"/>
    </row>
    <row r="83" spans="2:2">
      <c r="B83" s="95"/>
    </row>
    <row r="84" spans="2:2">
      <c r="B84" s="95"/>
    </row>
    <row r="85" spans="2:2">
      <c r="B85" s="95"/>
    </row>
    <row r="86" spans="2:2">
      <c r="B86" s="95"/>
    </row>
    <row r="87" spans="2:2">
      <c r="B87" s="95"/>
    </row>
    <row r="88" spans="2:2">
      <c r="B88" s="95"/>
    </row>
    <row r="89" spans="2:2">
      <c r="B89" s="95"/>
    </row>
    <row r="90" spans="2:2">
      <c r="B90" s="95"/>
    </row>
    <row r="91" spans="2:2">
      <c r="B91" s="95"/>
    </row>
    <row r="92" spans="2:2">
      <c r="B92" s="95"/>
    </row>
    <row r="93" spans="2:2">
      <c r="B93" s="95"/>
    </row>
    <row r="94" spans="2:2">
      <c r="B94" s="95"/>
    </row>
    <row r="95" spans="2:2">
      <c r="B95" s="95"/>
    </row>
    <row r="96" spans="2:2">
      <c r="B96" s="95"/>
    </row>
    <row r="97" spans="2:2">
      <c r="B97" s="95"/>
    </row>
    <row r="98" spans="2:2">
      <c r="B98" s="95"/>
    </row>
    <row r="99" spans="2:2">
      <c r="B99" s="95"/>
    </row>
    <row r="100" spans="2:2">
      <c r="B100" s="95"/>
    </row>
    <row r="101" spans="2:2">
      <c r="B101" s="95"/>
    </row>
    <row r="102" spans="2:2">
      <c r="B102" s="95"/>
    </row>
    <row r="103" spans="2:2">
      <c r="B103" s="95"/>
    </row>
    <row r="104" spans="2:2">
      <c r="B104" s="95"/>
    </row>
    <row r="105" spans="2:2">
      <c r="B105" s="95"/>
    </row>
    <row r="106" spans="2:2">
      <c r="B106" s="95"/>
    </row>
    <row r="107" spans="2:2">
      <c r="B107" s="95"/>
    </row>
    <row r="108" spans="2:2">
      <c r="B108" s="95"/>
    </row>
    <row r="109" spans="2:2">
      <c r="B109" s="95"/>
    </row>
    <row r="110" spans="2:2">
      <c r="B110" s="95"/>
    </row>
    <row r="111" spans="2:2">
      <c r="B111" s="95"/>
    </row>
    <row r="112" spans="2:2">
      <c r="B112" s="95"/>
    </row>
    <row r="113" spans="2:2">
      <c r="B113" s="95"/>
    </row>
    <row r="114" spans="2:2">
      <c r="B114" s="95"/>
    </row>
    <row r="115" spans="2:2">
      <c r="B115" s="95"/>
    </row>
    <row r="116" spans="2:2">
      <c r="B116" s="95"/>
    </row>
    <row r="117" spans="2:2">
      <c r="B117" s="95"/>
    </row>
    <row r="118" spans="2:2">
      <c r="B118" s="95"/>
    </row>
    <row r="119" spans="2:2">
      <c r="B119" s="95"/>
    </row>
    <row r="120" spans="2:2">
      <c r="B120" s="95"/>
    </row>
    <row r="121" spans="2:2">
      <c r="B121" s="95"/>
    </row>
    <row r="122" spans="2:2">
      <c r="B122" s="95"/>
    </row>
    <row r="123" spans="2:2">
      <c r="B123" s="95"/>
    </row>
    <row r="124" spans="2:2">
      <c r="B124" s="95"/>
    </row>
    <row r="125" spans="2:2">
      <c r="B125" s="95"/>
    </row>
    <row r="126" spans="2:2">
      <c r="B126" s="95"/>
    </row>
    <row r="127" spans="2:2">
      <c r="B127" s="95"/>
    </row>
    <row r="128" spans="2:2">
      <c r="B128" s="95"/>
    </row>
    <row r="129" spans="2:2">
      <c r="B129" s="95"/>
    </row>
    <row r="130" spans="2:2">
      <c r="B130" s="95"/>
    </row>
    <row r="131" spans="2:2">
      <c r="B131" s="95"/>
    </row>
    <row r="132" spans="2:2">
      <c r="B132" s="95"/>
    </row>
    <row r="133" spans="2:2">
      <c r="B133" s="95"/>
    </row>
    <row r="134" spans="2:2">
      <c r="B134" s="95"/>
    </row>
    <row r="135" spans="2:2">
      <c r="B135" s="95"/>
    </row>
    <row r="136" spans="2:2">
      <c r="B136" s="95"/>
    </row>
    <row r="137" spans="2:2">
      <c r="B137" s="95"/>
    </row>
    <row r="138" spans="2:2">
      <c r="B138" s="95"/>
    </row>
    <row r="139" spans="2:2">
      <c r="B139" s="95"/>
    </row>
    <row r="140" spans="2:2">
      <c r="B140" s="95"/>
    </row>
    <row r="141" spans="2:2">
      <c r="B141" s="95"/>
    </row>
    <row r="142" spans="2:2">
      <c r="B142" s="95"/>
    </row>
    <row r="143" spans="2:2">
      <c r="B143" s="95"/>
    </row>
    <row r="144" spans="2:2">
      <c r="B144" s="95"/>
    </row>
    <row r="145" spans="2:2">
      <c r="B145" s="95"/>
    </row>
    <row r="146" spans="2:2">
      <c r="B146" s="95"/>
    </row>
    <row r="147" spans="2:2">
      <c r="B147" s="95"/>
    </row>
    <row r="148" spans="2:2">
      <c r="B148" s="95"/>
    </row>
    <row r="149" spans="2:2">
      <c r="B149" s="95"/>
    </row>
    <row r="150" spans="2:2">
      <c r="B150" s="95"/>
    </row>
    <row r="151" spans="2:2">
      <c r="B151" s="95"/>
    </row>
    <row r="152" spans="2:2">
      <c r="B152" s="95"/>
    </row>
    <row r="153" spans="2:2">
      <c r="B153" s="95"/>
    </row>
    <row r="154" spans="2:2">
      <c r="B154" s="95"/>
    </row>
    <row r="155" spans="2:2">
      <c r="B155" s="95"/>
    </row>
    <row r="156" spans="2:2">
      <c r="B156" s="95"/>
    </row>
    <row r="157" spans="2:2">
      <c r="B157" s="95"/>
    </row>
    <row r="158" spans="2:2">
      <c r="B158" s="95"/>
    </row>
    <row r="159" spans="2:2">
      <c r="B159" s="95"/>
    </row>
    <row r="160" spans="2:2">
      <c r="B160" s="95"/>
    </row>
    <row r="161" spans="2:2">
      <c r="B161" s="95"/>
    </row>
    <row r="162" spans="2:2">
      <c r="B162" s="95"/>
    </row>
    <row r="163" spans="2:2">
      <c r="B163" s="95"/>
    </row>
    <row r="164" spans="2:2">
      <c r="B164" s="95"/>
    </row>
    <row r="165" spans="2:2">
      <c r="B165" s="95"/>
    </row>
    <row r="166" spans="2:2">
      <c r="B166" s="95"/>
    </row>
    <row r="167" spans="2:2">
      <c r="B167" s="95"/>
    </row>
    <row r="168" spans="2:2">
      <c r="B168" s="95"/>
    </row>
    <row r="169" spans="2:2">
      <c r="B169" s="95"/>
    </row>
    <row r="170" spans="2:2">
      <c r="B170" s="95"/>
    </row>
    <row r="171" spans="2:2">
      <c r="B171" s="95"/>
    </row>
    <row r="172" spans="2:2">
      <c r="B172" s="95"/>
    </row>
    <row r="173" spans="2:2">
      <c r="B173" s="95"/>
    </row>
    <row r="174" spans="2:2">
      <c r="B174" s="95"/>
    </row>
    <row r="175" spans="2:2">
      <c r="B175" s="95"/>
    </row>
    <row r="176" spans="2:2">
      <c r="B176" s="95"/>
    </row>
    <row r="177" spans="2:2">
      <c r="B177" s="95"/>
    </row>
    <row r="178" spans="2:2">
      <c r="B178" s="95"/>
    </row>
    <row r="179" spans="2:2">
      <c r="B179" s="95"/>
    </row>
    <row r="180" spans="2:2">
      <c r="B180" s="95"/>
    </row>
    <row r="181" spans="2:2">
      <c r="B181" s="95"/>
    </row>
    <row r="182" spans="2:2">
      <c r="B182" s="95"/>
    </row>
    <row r="183" spans="2:2">
      <c r="B183" s="95"/>
    </row>
    <row r="184" spans="2:2">
      <c r="B184" s="95"/>
    </row>
    <row r="185" spans="2:2">
      <c r="B185" s="95"/>
    </row>
    <row r="186" spans="2:2">
      <c r="B186" s="95"/>
    </row>
    <row r="187" spans="2:2">
      <c r="B187" s="95"/>
    </row>
    <row r="188" spans="2:2">
      <c r="B188" s="95"/>
    </row>
    <row r="189" spans="2:2">
      <c r="B189" s="95"/>
    </row>
    <row r="190" spans="2:2">
      <c r="B190" s="95"/>
    </row>
    <row r="191" spans="2:2">
      <c r="B191" s="95"/>
    </row>
    <row r="192" spans="2:2">
      <c r="B192" s="95"/>
    </row>
    <row r="193" spans="2:2">
      <c r="B193" s="95"/>
    </row>
    <row r="194" spans="2:2">
      <c r="B194" s="95"/>
    </row>
    <row r="195" spans="2:2">
      <c r="B195" s="95"/>
    </row>
    <row r="196" spans="2:2">
      <c r="B196" s="95"/>
    </row>
    <row r="197" spans="2:2">
      <c r="B197" s="95"/>
    </row>
    <row r="198" spans="2:2">
      <c r="B198" s="95"/>
    </row>
    <row r="199" spans="2:2">
      <c r="B199" s="95"/>
    </row>
    <row r="200" spans="2:2">
      <c r="B200" s="95"/>
    </row>
    <row r="201" spans="2:2">
      <c r="B201" s="95"/>
    </row>
    <row r="202" spans="2:2">
      <c r="B202" s="95"/>
    </row>
    <row r="203" spans="2:2">
      <c r="B203" s="95"/>
    </row>
    <row r="204" spans="2:2">
      <c r="B204" s="95"/>
    </row>
    <row r="205" spans="2:2">
      <c r="B205" s="95"/>
    </row>
    <row r="206" spans="2:2">
      <c r="B206" s="95"/>
    </row>
    <row r="207" spans="2:2">
      <c r="B207" s="95"/>
    </row>
    <row r="208" spans="2:2">
      <c r="B208" s="95"/>
    </row>
    <row r="209" spans="2:2">
      <c r="B209" s="95"/>
    </row>
    <row r="210" spans="2:2">
      <c r="B210" s="95"/>
    </row>
    <row r="211" spans="2:2">
      <c r="B211" s="95"/>
    </row>
    <row r="212" spans="2:2">
      <c r="B212" s="95"/>
    </row>
    <row r="213" spans="2:2">
      <c r="B213" s="95"/>
    </row>
    <row r="214" spans="2:2">
      <c r="B214" s="95"/>
    </row>
    <row r="215" spans="2:2">
      <c r="B215" s="95"/>
    </row>
    <row r="216" spans="2:2">
      <c r="B216" s="95"/>
    </row>
    <row r="217" spans="2:2">
      <c r="B217" s="95"/>
    </row>
    <row r="218" spans="2:2">
      <c r="B218" s="95"/>
    </row>
    <row r="219" spans="2:2">
      <c r="B219" s="95"/>
    </row>
    <row r="220" spans="2:2">
      <c r="B220" s="95"/>
    </row>
    <row r="221" spans="2:2">
      <c r="B221" s="95"/>
    </row>
    <row r="222" spans="2:2">
      <c r="B222" s="95"/>
    </row>
    <row r="223" spans="2:2">
      <c r="B223" s="95"/>
    </row>
    <row r="224" spans="2:2">
      <c r="B224" s="95"/>
    </row>
    <row r="225" spans="2:2">
      <c r="B225" s="95"/>
    </row>
    <row r="226" spans="2:2">
      <c r="B226" s="95"/>
    </row>
    <row r="227" spans="2:2">
      <c r="B227" s="95"/>
    </row>
    <row r="228" spans="2:2">
      <c r="B228" s="95"/>
    </row>
    <row r="229" spans="2:2">
      <c r="B229" s="95"/>
    </row>
    <row r="230" spans="2:2">
      <c r="B230" s="95"/>
    </row>
    <row r="231" spans="2:2">
      <c r="B231" s="95"/>
    </row>
    <row r="232" spans="2:2">
      <c r="B232" s="95"/>
    </row>
    <row r="233" spans="2:2">
      <c r="B233" s="95"/>
    </row>
    <row r="234" spans="2:2">
      <c r="B234" s="95"/>
    </row>
    <row r="235" spans="2:2">
      <c r="B235" s="95"/>
    </row>
    <row r="236" spans="2:2">
      <c r="B236" s="95"/>
    </row>
    <row r="237" spans="2:2">
      <c r="B237" s="95"/>
    </row>
    <row r="238" spans="2:2">
      <c r="B238" s="95"/>
    </row>
    <row r="239" spans="2:2">
      <c r="B239" s="95"/>
    </row>
    <row r="240" spans="2:2">
      <c r="B240" s="95"/>
    </row>
    <row r="241" spans="2:2">
      <c r="B241" s="95"/>
    </row>
    <row r="242" spans="2:2">
      <c r="B242" s="95"/>
    </row>
    <row r="243" spans="2:2">
      <c r="B243" s="95"/>
    </row>
    <row r="244" spans="2:2">
      <c r="B244" s="95"/>
    </row>
    <row r="245" spans="2:2">
      <c r="B245" s="95"/>
    </row>
    <row r="246" spans="2:2">
      <c r="B246" s="95"/>
    </row>
    <row r="247" spans="2:2">
      <c r="B247" s="95"/>
    </row>
    <row r="248" spans="2:2">
      <c r="B248" s="95"/>
    </row>
    <row r="249" spans="2:2">
      <c r="B249" s="95"/>
    </row>
    <row r="250" spans="2:2">
      <c r="B250" s="95"/>
    </row>
    <row r="251" spans="2:2">
      <c r="B251" s="95"/>
    </row>
    <row r="252" spans="2:2">
      <c r="B252" s="95"/>
    </row>
    <row r="253" spans="2:2">
      <c r="B253" s="95"/>
    </row>
    <row r="254" spans="2:2">
      <c r="B254" s="95"/>
    </row>
    <row r="255" spans="2:2">
      <c r="B255" s="95"/>
    </row>
    <row r="256" spans="2:2">
      <c r="B256" s="95"/>
    </row>
    <row r="257" spans="2:2">
      <c r="B257" s="95"/>
    </row>
    <row r="258" spans="2:2">
      <c r="B258" s="95"/>
    </row>
    <row r="259" spans="2:2">
      <c r="B259" s="95"/>
    </row>
    <row r="260" spans="2:2">
      <c r="B260" s="95"/>
    </row>
    <row r="261" spans="2:2">
      <c r="B261" s="95"/>
    </row>
    <row r="262" spans="2:2">
      <c r="B262" s="95"/>
    </row>
    <row r="263" spans="2:2">
      <c r="B263" s="95"/>
    </row>
    <row r="264" spans="2:2">
      <c r="B264" s="95"/>
    </row>
    <row r="265" spans="2:2">
      <c r="B265" s="95"/>
    </row>
    <row r="266" spans="2:2">
      <c r="B266" s="95"/>
    </row>
    <row r="267" spans="2:2">
      <c r="B267" s="95"/>
    </row>
    <row r="268" spans="2:2">
      <c r="B268" s="95"/>
    </row>
    <row r="269" spans="2:2">
      <c r="B269" s="95"/>
    </row>
    <row r="270" spans="2:2">
      <c r="B270" s="95"/>
    </row>
    <row r="271" spans="2:2">
      <c r="B271" s="95"/>
    </row>
    <row r="272" spans="2:2">
      <c r="B272" s="95"/>
    </row>
    <row r="273" spans="2:2">
      <c r="B273" s="95"/>
    </row>
    <row r="274" spans="2:2">
      <c r="B274" s="95"/>
    </row>
    <row r="275" spans="2:2">
      <c r="B275" s="95"/>
    </row>
    <row r="276" spans="2:2">
      <c r="B276" s="95"/>
    </row>
    <row r="277" spans="2:2">
      <c r="B277" s="95"/>
    </row>
    <row r="278" spans="2:2">
      <c r="B278" s="95"/>
    </row>
    <row r="279" spans="2:2">
      <c r="B279" s="95"/>
    </row>
    <row r="280" spans="2:2">
      <c r="B280" s="95"/>
    </row>
    <row r="281" spans="2:2">
      <c r="B281" s="95"/>
    </row>
    <row r="282" spans="2:2">
      <c r="B282" s="95"/>
    </row>
  </sheetData>
  <mergeCells count="6">
    <mergeCell ref="AL12:AM12"/>
    <mergeCell ref="AB12:AC12"/>
    <mergeCell ref="AD12:AE12"/>
    <mergeCell ref="AF12:AG12"/>
    <mergeCell ref="AH12:AI12"/>
    <mergeCell ref="AJ12:AK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Constants</vt:lpstr>
      <vt:lpstr>Experimental plan</vt:lpstr>
      <vt:lpstr>Rawdata</vt:lpstr>
      <vt:lpstr>Influent Concentration</vt:lpstr>
      <vt:lpstr>Effluent Concentration</vt:lpstr>
      <vt:lpstr>Average concentrations</vt:lpstr>
      <vt:lpstr>HRT</vt:lpstr>
      <vt:lpstr>KOH needs for medium</vt:lpstr>
      <vt:lpstr>Gas</vt:lpstr>
      <vt:lpstr>Productivities</vt:lpstr>
      <vt:lpstr>Balances</vt:lpstr>
      <vt:lpstr>Net consum-produc</vt:lpstr>
      <vt:lpstr>SCOD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Jin, Yong</dc:creator>
  <cp:lastModifiedBy>Jin, Yong</cp:lastModifiedBy>
  <dcterms:created xsi:type="dcterms:W3CDTF">2015-06-05T18:17:20Z</dcterms:created>
  <dcterms:modified xsi:type="dcterms:W3CDTF">2025-04-08T08:37:42Z</dcterms:modified>
</cp:coreProperties>
</file>